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railslibrariesinfo.sharepoint.com/sites/RSANFP/Shared Documents/Supervisors/RIP/Communications with Members/Feb UG Comm Pack/Fee Struct/"/>
    </mc:Choice>
  </mc:AlternateContent>
  <xr:revisionPtr revIDLastSave="10" documentId="8_{01FBDC97-12FB-43BE-9980-166363C5A389}" xr6:coauthVersionLast="47" xr6:coauthVersionMax="47" xr10:uidLastSave="{41E22A32-A087-49C8-9F8C-704CC98C83FF}"/>
  <bookViews>
    <workbookView xWindow="-28920" yWindow="-120" windowWidth="29040" windowHeight="15840" activeTab="1" xr2:uid="{AB2B8C8C-4F18-4204-8D95-1F75F050A486}"/>
  </bookViews>
  <sheets>
    <sheet name="Target revenue sheet" sheetId="2" r:id="rId1"/>
    <sheet name="Fee Model FY25-FY29" sheetId="1" r:id="rId2"/>
    <sheet name="Fee Calculator" sheetId="3" r:id="rId3"/>
    <sheet name="Data averages" sheetId="4" r:id="rId4"/>
  </sheets>
  <definedNames>
    <definedName name="_xlnm._FilterDatabase" localSheetId="3" hidden="1">'Data averages'!$A$2:$M$2</definedName>
    <definedName name="_xlnm._FilterDatabase" localSheetId="1" hidden="1">'Fee Model FY25-FY29'!$A$1:$BB$112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 l="1"/>
  <c r="C6" i="3"/>
  <c r="AZ2" i="1" l="1"/>
  <c r="AZ3" i="1"/>
  <c r="AZ5" i="1"/>
  <c r="AZ6" i="1"/>
  <c r="AZ9" i="1"/>
  <c r="AZ10" i="1"/>
  <c r="AZ8" i="1"/>
  <c r="AZ11" i="1"/>
  <c r="AZ7" i="1"/>
  <c r="AZ12" i="1"/>
  <c r="AZ17" i="1"/>
  <c r="AZ15" i="1"/>
  <c r="AZ13" i="1"/>
  <c r="AZ21" i="1"/>
  <c r="AZ14" i="1"/>
  <c r="AZ22" i="1"/>
  <c r="AZ20" i="1"/>
  <c r="AZ16" i="1"/>
  <c r="AZ19" i="1"/>
  <c r="AZ23" i="1"/>
  <c r="AZ25" i="1"/>
  <c r="AZ24" i="1"/>
  <c r="AZ26" i="1"/>
  <c r="AZ59" i="1"/>
  <c r="AZ27" i="1"/>
  <c r="AZ28" i="1"/>
  <c r="AZ30" i="1"/>
  <c r="AZ29" i="1"/>
  <c r="AZ31" i="1"/>
  <c r="AZ32" i="1"/>
  <c r="AZ36" i="1"/>
  <c r="AZ34" i="1"/>
  <c r="AZ35" i="1"/>
  <c r="AZ38" i="1"/>
  <c r="AZ37" i="1"/>
  <c r="AZ41" i="1"/>
  <c r="AZ39" i="1"/>
  <c r="AZ46" i="1"/>
  <c r="AZ43" i="1"/>
  <c r="AZ44" i="1"/>
  <c r="AZ48" i="1"/>
  <c r="AZ45" i="1"/>
  <c r="AZ47" i="1"/>
  <c r="AZ51" i="1"/>
  <c r="AZ53" i="1"/>
  <c r="AZ55" i="1"/>
  <c r="AZ54" i="1"/>
  <c r="AZ57" i="1"/>
  <c r="AZ56" i="1"/>
  <c r="AZ61" i="1"/>
  <c r="AZ67" i="1"/>
  <c r="AZ64" i="1"/>
  <c r="AZ66" i="1"/>
  <c r="AZ62" i="1"/>
  <c r="AZ65" i="1"/>
  <c r="AZ68" i="1"/>
  <c r="AZ60" i="1"/>
  <c r="AZ69" i="1"/>
  <c r="AZ70" i="1"/>
  <c r="AZ72" i="1"/>
  <c r="AZ40" i="1"/>
  <c r="AZ73" i="1"/>
  <c r="AZ75" i="1"/>
  <c r="AZ76" i="1"/>
  <c r="AZ79" i="1"/>
  <c r="AZ97" i="1"/>
  <c r="AZ81" i="1"/>
  <c r="AZ82" i="1"/>
  <c r="AZ83" i="1"/>
  <c r="AZ84" i="1"/>
  <c r="AZ86" i="1"/>
  <c r="AZ87" i="1"/>
  <c r="AZ85" i="1"/>
  <c r="AZ90" i="1"/>
  <c r="AZ88" i="1"/>
  <c r="AZ89" i="1"/>
  <c r="AZ91" i="1"/>
  <c r="AZ94" i="1"/>
  <c r="AZ95" i="1"/>
  <c r="AZ96" i="1"/>
  <c r="AY2" i="1"/>
  <c r="AY3" i="1"/>
  <c r="AY5" i="1"/>
  <c r="AY6" i="1"/>
  <c r="AY10" i="1"/>
  <c r="AY8" i="1"/>
  <c r="AY11" i="1"/>
  <c r="AY12" i="1"/>
  <c r="AY17" i="1"/>
  <c r="AY15" i="1"/>
  <c r="AY21" i="1"/>
  <c r="AY14" i="1"/>
  <c r="AY18" i="1"/>
  <c r="AY22" i="1"/>
  <c r="AY20" i="1"/>
  <c r="AY16" i="1"/>
  <c r="AY23" i="1"/>
  <c r="AY25" i="1"/>
  <c r="AY24" i="1"/>
  <c r="AY30" i="1"/>
  <c r="AY31" i="1"/>
  <c r="AY32" i="1"/>
  <c r="AY33" i="1"/>
  <c r="AY34" i="1"/>
  <c r="AY42" i="1"/>
  <c r="AY38" i="1"/>
  <c r="AY41" i="1"/>
  <c r="AY39" i="1"/>
  <c r="AY46" i="1"/>
  <c r="AY48" i="1"/>
  <c r="AY47" i="1"/>
  <c r="AY49" i="1"/>
  <c r="AY50" i="1"/>
  <c r="AY51" i="1"/>
  <c r="AY52" i="1"/>
  <c r="AY53" i="1"/>
  <c r="AY55" i="1"/>
  <c r="AY54" i="1"/>
  <c r="AY57" i="1"/>
  <c r="AY56" i="1"/>
  <c r="AY58" i="1"/>
  <c r="AY67" i="1"/>
  <c r="AY64" i="1"/>
  <c r="AY66" i="1"/>
  <c r="AY62" i="1"/>
  <c r="AY65" i="1"/>
  <c r="AY68" i="1"/>
  <c r="AY63" i="1"/>
  <c r="AY60" i="1"/>
  <c r="AY69" i="1"/>
  <c r="AY70" i="1"/>
  <c r="AY72" i="1"/>
  <c r="AY71" i="1"/>
  <c r="AY40" i="1"/>
  <c r="AY73" i="1"/>
  <c r="AY77" i="1"/>
  <c r="AY74" i="1"/>
  <c r="AY78" i="1"/>
  <c r="AY80" i="1"/>
  <c r="AY81" i="1"/>
  <c r="AY82" i="1"/>
  <c r="AY83" i="1"/>
  <c r="AY84" i="1"/>
  <c r="AY86" i="1"/>
  <c r="AY87" i="1"/>
  <c r="AY90" i="1"/>
  <c r="AY88" i="1"/>
  <c r="AY89" i="1"/>
  <c r="AY91" i="1"/>
  <c r="AY93" i="1"/>
  <c r="AY92" i="1"/>
  <c r="AY94" i="1"/>
  <c r="AY95" i="1"/>
  <c r="AY96" i="1"/>
  <c r="AY4" i="1"/>
  <c r="AX2" i="1"/>
  <c r="AX3" i="1"/>
  <c r="AX9" i="1"/>
  <c r="AX10" i="1"/>
  <c r="AX8" i="1"/>
  <c r="AX7" i="1"/>
  <c r="AX13" i="1"/>
  <c r="AX21" i="1"/>
  <c r="AX14" i="1"/>
  <c r="AX18" i="1"/>
  <c r="AX22" i="1"/>
  <c r="AX16" i="1"/>
  <c r="AX19" i="1"/>
  <c r="AX23" i="1"/>
  <c r="AX25" i="1"/>
  <c r="AX26" i="1"/>
  <c r="AX59" i="1"/>
  <c r="AX27" i="1"/>
  <c r="AX28" i="1"/>
  <c r="AX30" i="1"/>
  <c r="AX29" i="1"/>
  <c r="AX31" i="1"/>
  <c r="AX32" i="1"/>
  <c r="AX33" i="1"/>
  <c r="AX36" i="1"/>
  <c r="AX34" i="1"/>
  <c r="AX35" i="1"/>
  <c r="AX42" i="1"/>
  <c r="AX37" i="1"/>
  <c r="AX41" i="1"/>
  <c r="AX46" i="1"/>
  <c r="AX43" i="1"/>
  <c r="AX44" i="1"/>
  <c r="AX45" i="1"/>
  <c r="AX49" i="1"/>
  <c r="AX50" i="1"/>
  <c r="AX52" i="1"/>
  <c r="AX55" i="1"/>
  <c r="AX54" i="1"/>
  <c r="AX61" i="1"/>
  <c r="AX58" i="1"/>
  <c r="AX67" i="1"/>
  <c r="AX66" i="1"/>
  <c r="AX62" i="1"/>
  <c r="AX65" i="1"/>
  <c r="AX63" i="1"/>
  <c r="AX60" i="1"/>
  <c r="AX69" i="1"/>
  <c r="AX70" i="1"/>
  <c r="AX72" i="1"/>
  <c r="AX71" i="1"/>
  <c r="AX73" i="1"/>
  <c r="AX77" i="1"/>
  <c r="AX75" i="1"/>
  <c r="AX74" i="1"/>
  <c r="AX76" i="1"/>
  <c r="AX78" i="1"/>
  <c r="AX79" i="1"/>
  <c r="AX97" i="1"/>
  <c r="AX80" i="1"/>
  <c r="AX81" i="1"/>
  <c r="AX83" i="1"/>
  <c r="AX87" i="1"/>
  <c r="AX85" i="1"/>
  <c r="AX90" i="1"/>
  <c r="AX88" i="1"/>
  <c r="AX91" i="1"/>
  <c r="AX93" i="1"/>
  <c r="AX92" i="1"/>
  <c r="AX95" i="1"/>
  <c r="AX4" i="1"/>
  <c r="AW5" i="1"/>
  <c r="AW6" i="1"/>
  <c r="AW9" i="1"/>
  <c r="AW11" i="1"/>
  <c r="AW7" i="1"/>
  <c r="AW12" i="1"/>
  <c r="AW17" i="1"/>
  <c r="AW15" i="1"/>
  <c r="AW13" i="1"/>
  <c r="AW18" i="1"/>
  <c r="AW20" i="1"/>
  <c r="AW19" i="1"/>
  <c r="AW24" i="1"/>
  <c r="AW26" i="1"/>
  <c r="AW59" i="1"/>
  <c r="AW27" i="1"/>
  <c r="AW28" i="1"/>
  <c r="AW29" i="1"/>
  <c r="AW33" i="1"/>
  <c r="AW36" i="1"/>
  <c r="AW35" i="1"/>
  <c r="AW42" i="1"/>
  <c r="AW38" i="1"/>
  <c r="AW37" i="1"/>
  <c r="AW39" i="1"/>
  <c r="AW43" i="1"/>
  <c r="AW44" i="1"/>
  <c r="AW48" i="1"/>
  <c r="AW45" i="1"/>
  <c r="AW47" i="1"/>
  <c r="AW49" i="1"/>
  <c r="AW50" i="1"/>
  <c r="AW51" i="1"/>
  <c r="AW52" i="1"/>
  <c r="AW53" i="1"/>
  <c r="AW57" i="1"/>
  <c r="AW56" i="1"/>
  <c r="AW61" i="1"/>
  <c r="AW58" i="1"/>
  <c r="AW64" i="1"/>
  <c r="AW68" i="1"/>
  <c r="AW63" i="1"/>
  <c r="AW71" i="1"/>
  <c r="AW40" i="1"/>
  <c r="AW77" i="1"/>
  <c r="AW75" i="1"/>
  <c r="AW74" i="1"/>
  <c r="AW76" i="1"/>
  <c r="AW78" i="1"/>
  <c r="AW79" i="1"/>
  <c r="AW97" i="1"/>
  <c r="AW80" i="1"/>
  <c r="AW82" i="1"/>
  <c r="AW84" i="1"/>
  <c r="AW86" i="1"/>
  <c r="AW85" i="1"/>
  <c r="AW89" i="1"/>
  <c r="AW93" i="1"/>
  <c r="AW92" i="1"/>
  <c r="AW94" i="1"/>
  <c r="AW96" i="1"/>
  <c r="AW4" i="1"/>
  <c r="C5" i="3"/>
  <c r="C4" i="3"/>
  <c r="C3" i="3"/>
  <c r="C8" i="3" l="1"/>
  <c r="C9" i="3"/>
  <c r="C10" i="3" s="1"/>
  <c r="AM93" i="1"/>
  <c r="AM80" i="1"/>
  <c r="AM74" i="1"/>
  <c r="AM75" i="1"/>
  <c r="AM77" i="1"/>
  <c r="AM71" i="1"/>
  <c r="AM52" i="1"/>
  <c r="AM50" i="1"/>
  <c r="AM43" i="1"/>
  <c r="AM42" i="1"/>
  <c r="AK3" i="1"/>
  <c r="AK6" i="1"/>
  <c r="AK9" i="1"/>
  <c r="AK10" i="1"/>
  <c r="AK8" i="1"/>
  <c r="AK11" i="1"/>
  <c r="AK7" i="1"/>
  <c r="AK12" i="1"/>
  <c r="AK17" i="1"/>
  <c r="AK15" i="1"/>
  <c r="AK13" i="1"/>
  <c r="AK21" i="1"/>
  <c r="AK14" i="1"/>
  <c r="AK18" i="1"/>
  <c r="AK22" i="1"/>
  <c r="AK20" i="1"/>
  <c r="AK16" i="1"/>
  <c r="AK19" i="1"/>
  <c r="AK23" i="1"/>
  <c r="AK25" i="1"/>
  <c r="AK24" i="1"/>
  <c r="AK26" i="1"/>
  <c r="AK59" i="1"/>
  <c r="AK27" i="1"/>
  <c r="AK28" i="1"/>
  <c r="AK30" i="1"/>
  <c r="AK29" i="1"/>
  <c r="AK31" i="1"/>
  <c r="AK33" i="1"/>
  <c r="AK36" i="1"/>
  <c r="AK34" i="1"/>
  <c r="AK35" i="1"/>
  <c r="AK42" i="1"/>
  <c r="AK38" i="1"/>
  <c r="AK37" i="1"/>
  <c r="AK41" i="1"/>
  <c r="AK39" i="1"/>
  <c r="AK46" i="1"/>
  <c r="AK43" i="1"/>
  <c r="AK48" i="1"/>
  <c r="AK45" i="1"/>
  <c r="AK47" i="1"/>
  <c r="AK49" i="1"/>
  <c r="AK50" i="1"/>
  <c r="AK51" i="1"/>
  <c r="AK52" i="1"/>
  <c r="AK55" i="1"/>
  <c r="AK54" i="1"/>
  <c r="AK57" i="1"/>
  <c r="AK56" i="1"/>
  <c r="AK61" i="1"/>
  <c r="AK58" i="1"/>
  <c r="AK67" i="1"/>
  <c r="AK64" i="1"/>
  <c r="AK66" i="1"/>
  <c r="AK62" i="1"/>
  <c r="AK65" i="1"/>
  <c r="AK68" i="1"/>
  <c r="AK63" i="1"/>
  <c r="AK60" i="1"/>
  <c r="AK69" i="1"/>
  <c r="AK71" i="1"/>
  <c r="AK40" i="1"/>
  <c r="AK73" i="1"/>
  <c r="AK77" i="1"/>
  <c r="AK75" i="1"/>
  <c r="AK74" i="1"/>
  <c r="AK76" i="1"/>
  <c r="AK78" i="1"/>
  <c r="AK79" i="1"/>
  <c r="AK97" i="1"/>
  <c r="AK80" i="1"/>
  <c r="AK83" i="1"/>
  <c r="AK86" i="1"/>
  <c r="AK87" i="1"/>
  <c r="AK85" i="1"/>
  <c r="AK90" i="1"/>
  <c r="AK88" i="1"/>
  <c r="AK89" i="1"/>
  <c r="AK91" i="1"/>
  <c r="AK93" i="1"/>
  <c r="AK92" i="1"/>
  <c r="AK95" i="1"/>
  <c r="AK96" i="1"/>
  <c r="AK4" i="1"/>
  <c r="AH3" i="1"/>
  <c r="AH6" i="1"/>
  <c r="AH9" i="1"/>
  <c r="AH10" i="1"/>
  <c r="AH8" i="1"/>
  <c r="AH11" i="1"/>
  <c r="AH7" i="1"/>
  <c r="AH12" i="1"/>
  <c r="AH17" i="1"/>
  <c r="AH15" i="1"/>
  <c r="AH13" i="1"/>
  <c r="AH21" i="1"/>
  <c r="AH14" i="1"/>
  <c r="AH18" i="1"/>
  <c r="AH22" i="1"/>
  <c r="AH20" i="1"/>
  <c r="AH16" i="1"/>
  <c r="AH19" i="1"/>
  <c r="AH23" i="1"/>
  <c r="AH25" i="1"/>
  <c r="AH24" i="1"/>
  <c r="AH26" i="1"/>
  <c r="AH59" i="1"/>
  <c r="AH27" i="1"/>
  <c r="AH28" i="1"/>
  <c r="AH30" i="1"/>
  <c r="AH29" i="1"/>
  <c r="AH31" i="1"/>
  <c r="AH33" i="1"/>
  <c r="AH36" i="1"/>
  <c r="AH34" i="1"/>
  <c r="AH35" i="1"/>
  <c r="AH42" i="1"/>
  <c r="AH38" i="1"/>
  <c r="AH37" i="1"/>
  <c r="AH41" i="1"/>
  <c r="AH39" i="1"/>
  <c r="AH46" i="1"/>
  <c r="AH43" i="1"/>
  <c r="AH48" i="1"/>
  <c r="AH45" i="1"/>
  <c r="AH47" i="1"/>
  <c r="AH49" i="1"/>
  <c r="AH50" i="1"/>
  <c r="AH51" i="1"/>
  <c r="AH52" i="1"/>
  <c r="AH55" i="1"/>
  <c r="AH54" i="1"/>
  <c r="AH57" i="1"/>
  <c r="AH56" i="1"/>
  <c r="AH61" i="1"/>
  <c r="AH58" i="1"/>
  <c r="AH67" i="1"/>
  <c r="AH64" i="1"/>
  <c r="AH66" i="1"/>
  <c r="AH62" i="1"/>
  <c r="AH65" i="1"/>
  <c r="AH68" i="1"/>
  <c r="AH63" i="1"/>
  <c r="AH60" i="1"/>
  <c r="AH69" i="1"/>
  <c r="AH71" i="1"/>
  <c r="AH40" i="1"/>
  <c r="AH73" i="1"/>
  <c r="AH77" i="1"/>
  <c r="AH75" i="1"/>
  <c r="AH74" i="1"/>
  <c r="AH76" i="1"/>
  <c r="AH78" i="1"/>
  <c r="AH79" i="1"/>
  <c r="AH97" i="1"/>
  <c r="AH80" i="1"/>
  <c r="AH83" i="1"/>
  <c r="AH86" i="1"/>
  <c r="AH87" i="1"/>
  <c r="AH85" i="1"/>
  <c r="AH90" i="1"/>
  <c r="AH88" i="1"/>
  <c r="AH89" i="1"/>
  <c r="AH91" i="1"/>
  <c r="AH93" i="1"/>
  <c r="AH92" i="1"/>
  <c r="AH95" i="1"/>
  <c r="AH96" i="1"/>
  <c r="AH4" i="1"/>
  <c r="AE3" i="1"/>
  <c r="AE6" i="1"/>
  <c r="AE9" i="1"/>
  <c r="AE10" i="1"/>
  <c r="AE8" i="1"/>
  <c r="AE11" i="1"/>
  <c r="AE7" i="1"/>
  <c r="AE12" i="1"/>
  <c r="AE17" i="1"/>
  <c r="AE15" i="1"/>
  <c r="AE13" i="1"/>
  <c r="AE21" i="1"/>
  <c r="AE14" i="1"/>
  <c r="AE18" i="1"/>
  <c r="AE22" i="1"/>
  <c r="AE20" i="1"/>
  <c r="AE16" i="1"/>
  <c r="AE19" i="1"/>
  <c r="AE23" i="1"/>
  <c r="AE25" i="1"/>
  <c r="AE24" i="1"/>
  <c r="AE26" i="1"/>
  <c r="AE59" i="1"/>
  <c r="AE27" i="1"/>
  <c r="AE28" i="1"/>
  <c r="AE30" i="1"/>
  <c r="AE29" i="1"/>
  <c r="AE31" i="1"/>
  <c r="AE33" i="1"/>
  <c r="AE36" i="1"/>
  <c r="AE34" i="1"/>
  <c r="AE35" i="1"/>
  <c r="AE42" i="1"/>
  <c r="AE38" i="1"/>
  <c r="AE37" i="1"/>
  <c r="AE41" i="1"/>
  <c r="AE39" i="1"/>
  <c r="AE46" i="1"/>
  <c r="AE43" i="1"/>
  <c r="AE48" i="1"/>
  <c r="AE45" i="1"/>
  <c r="AE47" i="1"/>
  <c r="AE49" i="1"/>
  <c r="AE50" i="1"/>
  <c r="AE51" i="1"/>
  <c r="AE52" i="1"/>
  <c r="AE55" i="1"/>
  <c r="AE54" i="1"/>
  <c r="AE57" i="1"/>
  <c r="AE56" i="1"/>
  <c r="AE61" i="1"/>
  <c r="AE58" i="1"/>
  <c r="AE67" i="1"/>
  <c r="AE64" i="1"/>
  <c r="AE66" i="1"/>
  <c r="AE62" i="1"/>
  <c r="AE65" i="1"/>
  <c r="AE68" i="1"/>
  <c r="AE63" i="1"/>
  <c r="AE60" i="1"/>
  <c r="AE69" i="1"/>
  <c r="AE71" i="1"/>
  <c r="AE40" i="1"/>
  <c r="AE73" i="1"/>
  <c r="AE77" i="1"/>
  <c r="AE75" i="1"/>
  <c r="AE74" i="1"/>
  <c r="AE76" i="1"/>
  <c r="AE78" i="1"/>
  <c r="AE79" i="1"/>
  <c r="AE97" i="1"/>
  <c r="AE80" i="1"/>
  <c r="AE83" i="1"/>
  <c r="AE86" i="1"/>
  <c r="AE87" i="1"/>
  <c r="AE85" i="1"/>
  <c r="AE90" i="1"/>
  <c r="AE88" i="1"/>
  <c r="AE89" i="1"/>
  <c r="AE91" i="1"/>
  <c r="AE93" i="1"/>
  <c r="AE92" i="1"/>
  <c r="AE95" i="1"/>
  <c r="AE96" i="1"/>
  <c r="AE4" i="1"/>
  <c r="AN3" i="1"/>
  <c r="AN6" i="1"/>
  <c r="AN9" i="1"/>
  <c r="AN10" i="1"/>
  <c r="AN8" i="1"/>
  <c r="AN11" i="1"/>
  <c r="AN7" i="1"/>
  <c r="AN12" i="1"/>
  <c r="AN17" i="1"/>
  <c r="AN15" i="1"/>
  <c r="AN13" i="1"/>
  <c r="AN21" i="1"/>
  <c r="AN14" i="1"/>
  <c r="AN18" i="1"/>
  <c r="AN22" i="1"/>
  <c r="AN20" i="1"/>
  <c r="AN16" i="1"/>
  <c r="AN19" i="1"/>
  <c r="AN23" i="1"/>
  <c r="AN25" i="1"/>
  <c r="AN24" i="1"/>
  <c r="AN26" i="1"/>
  <c r="AN59" i="1"/>
  <c r="AN27" i="1"/>
  <c r="AN28" i="1"/>
  <c r="AN30" i="1"/>
  <c r="AN29" i="1"/>
  <c r="AN31" i="1"/>
  <c r="AN33" i="1"/>
  <c r="AN36" i="1"/>
  <c r="AN34" i="1"/>
  <c r="AN35" i="1"/>
  <c r="AN42" i="1"/>
  <c r="AN38" i="1"/>
  <c r="AN37" i="1"/>
  <c r="AN41" i="1"/>
  <c r="AN39" i="1"/>
  <c r="AN46" i="1"/>
  <c r="AN43" i="1"/>
  <c r="AN48" i="1"/>
  <c r="AN45" i="1"/>
  <c r="AN47" i="1"/>
  <c r="AN49" i="1"/>
  <c r="AN50" i="1"/>
  <c r="AN51" i="1"/>
  <c r="AN52" i="1"/>
  <c r="AN55" i="1"/>
  <c r="AN54" i="1"/>
  <c r="AN57" i="1"/>
  <c r="AN56" i="1"/>
  <c r="AN61" i="1"/>
  <c r="AN58" i="1"/>
  <c r="AN67" i="1"/>
  <c r="AN64" i="1"/>
  <c r="AN66" i="1"/>
  <c r="AN62" i="1"/>
  <c r="AN65" i="1"/>
  <c r="AN68" i="1"/>
  <c r="AN63" i="1"/>
  <c r="AN60" i="1"/>
  <c r="AN69" i="1"/>
  <c r="AN71" i="1"/>
  <c r="AN40" i="1"/>
  <c r="AN73" i="1"/>
  <c r="AN77" i="1"/>
  <c r="AN75" i="1"/>
  <c r="AN74" i="1"/>
  <c r="AN76" i="1"/>
  <c r="AN78" i="1"/>
  <c r="AN79" i="1"/>
  <c r="AN97" i="1"/>
  <c r="AN80" i="1"/>
  <c r="AN83" i="1"/>
  <c r="AN86" i="1"/>
  <c r="AN87" i="1"/>
  <c r="AN85" i="1"/>
  <c r="AN90" i="1"/>
  <c r="AN88" i="1"/>
  <c r="AN89" i="1"/>
  <c r="AN91" i="1"/>
  <c r="AN93" i="1"/>
  <c r="AN92" i="1"/>
  <c r="AN95" i="1"/>
  <c r="AN96" i="1"/>
  <c r="AN4" i="1"/>
  <c r="D98" i="1"/>
  <c r="S2" i="1"/>
  <c r="S3" i="1"/>
  <c r="S5" i="1"/>
  <c r="S6" i="1"/>
  <c r="S9" i="1"/>
  <c r="S10" i="1"/>
  <c r="S8" i="1"/>
  <c r="S11" i="1"/>
  <c r="S7" i="1"/>
  <c r="S12" i="1"/>
  <c r="S17" i="1"/>
  <c r="S15" i="1"/>
  <c r="S13" i="1"/>
  <c r="S21" i="1"/>
  <c r="S14" i="1"/>
  <c r="S18" i="1"/>
  <c r="S22" i="1"/>
  <c r="S20" i="1"/>
  <c r="S16" i="1"/>
  <c r="S19" i="1"/>
  <c r="S23" i="1"/>
  <c r="S25" i="1"/>
  <c r="S24" i="1"/>
  <c r="S26" i="1"/>
  <c r="S59" i="1"/>
  <c r="S27" i="1"/>
  <c r="S28" i="1"/>
  <c r="S30" i="1"/>
  <c r="S29" i="1"/>
  <c r="S31" i="1"/>
  <c r="S32" i="1"/>
  <c r="S33" i="1"/>
  <c r="S36" i="1"/>
  <c r="S34" i="1"/>
  <c r="S35" i="1"/>
  <c r="S42" i="1"/>
  <c r="S38" i="1"/>
  <c r="S37" i="1"/>
  <c r="S41" i="1"/>
  <c r="S39" i="1"/>
  <c r="S46" i="1"/>
  <c r="S43" i="1"/>
  <c r="S44" i="1"/>
  <c r="S48" i="1"/>
  <c r="S45" i="1"/>
  <c r="S47" i="1"/>
  <c r="S49" i="1"/>
  <c r="S50" i="1"/>
  <c r="S51" i="1"/>
  <c r="S52" i="1"/>
  <c r="S53" i="1"/>
  <c r="S55" i="1"/>
  <c r="S54" i="1"/>
  <c r="S57" i="1"/>
  <c r="S56" i="1"/>
  <c r="S61" i="1"/>
  <c r="S58" i="1"/>
  <c r="S67" i="1"/>
  <c r="S64" i="1"/>
  <c r="S66" i="1"/>
  <c r="S62" i="1"/>
  <c r="S65" i="1"/>
  <c r="S68" i="1"/>
  <c r="S63" i="1"/>
  <c r="S60" i="1"/>
  <c r="S69" i="1"/>
  <c r="S70" i="1"/>
  <c r="S72" i="1"/>
  <c r="S71" i="1"/>
  <c r="S40" i="1"/>
  <c r="S73" i="1"/>
  <c r="S77" i="1"/>
  <c r="S75" i="1"/>
  <c r="S74" i="1"/>
  <c r="S76" i="1"/>
  <c r="S78" i="1"/>
  <c r="S79" i="1"/>
  <c r="S97" i="1"/>
  <c r="S80" i="1"/>
  <c r="S81" i="1"/>
  <c r="S82" i="1"/>
  <c r="S83" i="1"/>
  <c r="S84" i="1"/>
  <c r="S86" i="1"/>
  <c r="S87" i="1"/>
  <c r="S85" i="1"/>
  <c r="S90" i="1"/>
  <c r="S88" i="1"/>
  <c r="S89" i="1"/>
  <c r="S91" i="1"/>
  <c r="S93" i="1"/>
  <c r="S92" i="1"/>
  <c r="S94" i="1"/>
  <c r="S95" i="1"/>
  <c r="S96" i="1"/>
  <c r="S4" i="1"/>
  <c r="P2" i="1"/>
  <c r="P3" i="1"/>
  <c r="P5" i="1"/>
  <c r="P6" i="1"/>
  <c r="P9" i="1"/>
  <c r="P10" i="1"/>
  <c r="P8" i="1"/>
  <c r="P11" i="1"/>
  <c r="P7" i="1"/>
  <c r="P12" i="1"/>
  <c r="P17" i="1"/>
  <c r="P15" i="1"/>
  <c r="P13" i="1"/>
  <c r="P21" i="1"/>
  <c r="P14" i="1"/>
  <c r="P18" i="1"/>
  <c r="P22" i="1"/>
  <c r="P20" i="1"/>
  <c r="P16" i="1"/>
  <c r="P19" i="1"/>
  <c r="P23" i="1"/>
  <c r="P25" i="1"/>
  <c r="P24" i="1"/>
  <c r="P26" i="1"/>
  <c r="P59" i="1"/>
  <c r="P27" i="1"/>
  <c r="P28" i="1"/>
  <c r="P30" i="1"/>
  <c r="P29" i="1"/>
  <c r="P31" i="1"/>
  <c r="P32" i="1"/>
  <c r="P33" i="1"/>
  <c r="P36" i="1"/>
  <c r="P34" i="1"/>
  <c r="P35" i="1"/>
  <c r="P42" i="1"/>
  <c r="P38" i="1"/>
  <c r="P37" i="1"/>
  <c r="P41" i="1"/>
  <c r="P39" i="1"/>
  <c r="P46" i="1"/>
  <c r="P43" i="1"/>
  <c r="P44" i="1"/>
  <c r="P48" i="1"/>
  <c r="P45" i="1"/>
  <c r="P47" i="1"/>
  <c r="P49" i="1"/>
  <c r="P50" i="1"/>
  <c r="P51" i="1"/>
  <c r="P52" i="1"/>
  <c r="P53" i="1"/>
  <c r="P55" i="1"/>
  <c r="P54" i="1"/>
  <c r="P57" i="1"/>
  <c r="P56" i="1"/>
  <c r="P61" i="1"/>
  <c r="P58" i="1"/>
  <c r="P67" i="1"/>
  <c r="P64" i="1"/>
  <c r="P66" i="1"/>
  <c r="P62" i="1"/>
  <c r="P65" i="1"/>
  <c r="P68" i="1"/>
  <c r="P63" i="1"/>
  <c r="P60" i="1"/>
  <c r="P69" i="1"/>
  <c r="P70" i="1"/>
  <c r="P72" i="1"/>
  <c r="P71" i="1"/>
  <c r="P40" i="1"/>
  <c r="P73" i="1"/>
  <c r="P77" i="1"/>
  <c r="P75" i="1"/>
  <c r="P74" i="1"/>
  <c r="P76" i="1"/>
  <c r="P78" i="1"/>
  <c r="P79" i="1"/>
  <c r="P97" i="1"/>
  <c r="P80" i="1"/>
  <c r="P81" i="1"/>
  <c r="P82" i="1"/>
  <c r="P83" i="1"/>
  <c r="P84" i="1"/>
  <c r="P86" i="1"/>
  <c r="P87" i="1"/>
  <c r="P85" i="1"/>
  <c r="P90" i="1"/>
  <c r="P88" i="1"/>
  <c r="P89" i="1"/>
  <c r="P91" i="1"/>
  <c r="P93" i="1"/>
  <c r="P92" i="1"/>
  <c r="P94" i="1"/>
  <c r="P95" i="1"/>
  <c r="P96" i="1"/>
  <c r="P4" i="1"/>
  <c r="M2" i="1"/>
  <c r="M3" i="1"/>
  <c r="M5" i="1"/>
  <c r="M6" i="1"/>
  <c r="M9" i="1"/>
  <c r="M10" i="1"/>
  <c r="M8" i="1"/>
  <c r="M11" i="1"/>
  <c r="M7" i="1"/>
  <c r="M12" i="1"/>
  <c r="M17" i="1"/>
  <c r="M15" i="1"/>
  <c r="M13" i="1"/>
  <c r="M21" i="1"/>
  <c r="M14" i="1"/>
  <c r="M18" i="1"/>
  <c r="M22" i="1"/>
  <c r="M20" i="1"/>
  <c r="M16" i="1"/>
  <c r="M19" i="1"/>
  <c r="M23" i="1"/>
  <c r="M25" i="1"/>
  <c r="M24" i="1"/>
  <c r="M26" i="1"/>
  <c r="M59" i="1"/>
  <c r="M27" i="1"/>
  <c r="M28" i="1"/>
  <c r="M30" i="1"/>
  <c r="M29" i="1"/>
  <c r="M31" i="1"/>
  <c r="M32" i="1"/>
  <c r="M33" i="1"/>
  <c r="M36" i="1"/>
  <c r="M34" i="1"/>
  <c r="M35" i="1"/>
  <c r="M42" i="1"/>
  <c r="M38" i="1"/>
  <c r="M37" i="1"/>
  <c r="M41" i="1"/>
  <c r="M39" i="1"/>
  <c r="M46" i="1"/>
  <c r="M43" i="1"/>
  <c r="M44" i="1"/>
  <c r="M48" i="1"/>
  <c r="M45" i="1"/>
  <c r="M47" i="1"/>
  <c r="M49" i="1"/>
  <c r="M50" i="1"/>
  <c r="M51" i="1"/>
  <c r="M52" i="1"/>
  <c r="M53" i="1"/>
  <c r="M55" i="1"/>
  <c r="M54" i="1"/>
  <c r="M57" i="1"/>
  <c r="M56" i="1"/>
  <c r="M61" i="1"/>
  <c r="M58" i="1"/>
  <c r="M67" i="1"/>
  <c r="M64" i="1"/>
  <c r="M66" i="1"/>
  <c r="M62" i="1"/>
  <c r="M65" i="1"/>
  <c r="M68" i="1"/>
  <c r="M63" i="1"/>
  <c r="M60" i="1"/>
  <c r="M69" i="1"/>
  <c r="M70" i="1"/>
  <c r="M72" i="1"/>
  <c r="M71" i="1"/>
  <c r="M40" i="1"/>
  <c r="M73" i="1"/>
  <c r="M77" i="1"/>
  <c r="M75" i="1"/>
  <c r="M74" i="1"/>
  <c r="M76" i="1"/>
  <c r="M78" i="1"/>
  <c r="M79" i="1"/>
  <c r="M97" i="1"/>
  <c r="M80" i="1"/>
  <c r="M81" i="1"/>
  <c r="M82" i="1"/>
  <c r="M83" i="1"/>
  <c r="M84" i="1"/>
  <c r="M86" i="1"/>
  <c r="M87" i="1"/>
  <c r="M85" i="1"/>
  <c r="M90" i="1"/>
  <c r="M88" i="1"/>
  <c r="M89" i="1"/>
  <c r="M91" i="1"/>
  <c r="M93" i="1"/>
  <c r="M92" i="1"/>
  <c r="M94" i="1"/>
  <c r="M95" i="1"/>
  <c r="M96" i="1"/>
  <c r="M4" i="1"/>
  <c r="J2" i="1"/>
  <c r="J3" i="1"/>
  <c r="J5" i="1"/>
  <c r="J6" i="1"/>
  <c r="J9" i="1"/>
  <c r="J10" i="1"/>
  <c r="J8" i="1"/>
  <c r="J11" i="1"/>
  <c r="J7" i="1"/>
  <c r="J12" i="1"/>
  <c r="J17" i="1"/>
  <c r="J15" i="1"/>
  <c r="J13" i="1"/>
  <c r="J21" i="1"/>
  <c r="J14" i="1"/>
  <c r="J18" i="1"/>
  <c r="J22" i="1"/>
  <c r="J20" i="1"/>
  <c r="J16" i="1"/>
  <c r="J19" i="1"/>
  <c r="J23" i="1"/>
  <c r="J25" i="1"/>
  <c r="J24" i="1"/>
  <c r="J26" i="1"/>
  <c r="J59" i="1"/>
  <c r="J27" i="1"/>
  <c r="J28" i="1"/>
  <c r="J30" i="1"/>
  <c r="J29" i="1"/>
  <c r="J31" i="1"/>
  <c r="J32" i="1"/>
  <c r="J33" i="1"/>
  <c r="J36" i="1"/>
  <c r="J34" i="1"/>
  <c r="J35" i="1"/>
  <c r="J42" i="1"/>
  <c r="J38" i="1"/>
  <c r="J37" i="1"/>
  <c r="J41" i="1"/>
  <c r="J39" i="1"/>
  <c r="J46" i="1"/>
  <c r="J43" i="1"/>
  <c r="J44" i="1"/>
  <c r="J48" i="1"/>
  <c r="J45" i="1"/>
  <c r="J47" i="1"/>
  <c r="J49" i="1"/>
  <c r="J50" i="1"/>
  <c r="J51" i="1"/>
  <c r="J52" i="1"/>
  <c r="J53" i="1"/>
  <c r="J55" i="1"/>
  <c r="J54" i="1"/>
  <c r="J57" i="1"/>
  <c r="J56" i="1"/>
  <c r="J61" i="1"/>
  <c r="J58" i="1"/>
  <c r="J67" i="1"/>
  <c r="J64" i="1"/>
  <c r="J66" i="1"/>
  <c r="J62" i="1"/>
  <c r="J65" i="1"/>
  <c r="J68" i="1"/>
  <c r="J63" i="1"/>
  <c r="J60" i="1"/>
  <c r="J69" i="1"/>
  <c r="J70" i="1"/>
  <c r="J72" i="1"/>
  <c r="J71" i="1"/>
  <c r="J40" i="1"/>
  <c r="J73" i="1"/>
  <c r="J77" i="1"/>
  <c r="J75" i="1"/>
  <c r="J74" i="1"/>
  <c r="J76" i="1"/>
  <c r="J78" i="1"/>
  <c r="J79" i="1"/>
  <c r="J97" i="1"/>
  <c r="J80" i="1"/>
  <c r="J81" i="1"/>
  <c r="J82" i="1"/>
  <c r="J83" i="1"/>
  <c r="J84" i="1"/>
  <c r="J86" i="1"/>
  <c r="J87" i="1"/>
  <c r="J85" i="1"/>
  <c r="J90" i="1"/>
  <c r="J88" i="1"/>
  <c r="J89" i="1"/>
  <c r="J91" i="1"/>
  <c r="J93" i="1"/>
  <c r="J92" i="1"/>
  <c r="J94" i="1"/>
  <c r="J95" i="1"/>
  <c r="J96" i="1"/>
  <c r="J4" i="1"/>
  <c r="AZ71" i="1" l="1"/>
  <c r="AZ77" i="1"/>
  <c r="AY75" i="1"/>
  <c r="AZ74" i="1"/>
  <c r="AZ42" i="1"/>
  <c r="AZ80" i="1"/>
  <c r="AY43" i="1"/>
  <c r="AZ93" i="1"/>
  <c r="AZ50" i="1"/>
  <c r="AZ52" i="1"/>
  <c r="AO80" i="1"/>
  <c r="AO77" i="1"/>
  <c r="AO74" i="1"/>
  <c r="AO42" i="1"/>
  <c r="AO71" i="1"/>
  <c r="F80" i="1"/>
  <c r="F77" i="1"/>
  <c r="F42" i="1"/>
  <c r="F92" i="1"/>
  <c r="F33" i="1"/>
  <c r="F63" i="1"/>
  <c r="F4" i="1"/>
  <c r="F49" i="1"/>
  <c r="F50" i="1"/>
  <c r="F93" i="1"/>
  <c r="F52" i="1"/>
  <c r="F58" i="1"/>
  <c r="F28" i="1"/>
  <c r="F26" i="1"/>
  <c r="F78" i="1"/>
  <c r="F18" i="1"/>
  <c r="F44" i="1"/>
  <c r="F29" i="1"/>
  <c r="F97" i="1"/>
  <c r="F76" i="1"/>
  <c r="F36" i="1"/>
  <c r="F27" i="1"/>
  <c r="F13" i="1"/>
  <c r="F75" i="1"/>
  <c r="F61" i="1"/>
  <c r="F85" i="1"/>
  <c r="F56" i="1"/>
  <c r="F79" i="1"/>
  <c r="F37" i="1"/>
  <c r="F45" i="1"/>
  <c r="F43" i="1"/>
  <c r="F7" i="1"/>
  <c r="F19" i="1"/>
  <c r="F11" i="1"/>
  <c r="F47" i="1"/>
  <c r="F9" i="1"/>
  <c r="F24" i="1"/>
  <c r="F38" i="1"/>
  <c r="F15" i="1"/>
  <c r="F35" i="1"/>
  <c r="F82" i="1"/>
  <c r="F39" i="1"/>
  <c r="F59" i="1"/>
  <c r="F31" i="1"/>
  <c r="F48" i="1"/>
  <c r="F10" i="1"/>
  <c r="F87" i="1"/>
  <c r="F6" i="1"/>
  <c r="F17" i="1"/>
  <c r="F57" i="1"/>
  <c r="F20" i="1"/>
  <c r="F34" i="1"/>
  <c r="F68" i="1"/>
  <c r="F51" i="1"/>
  <c r="F86" i="1"/>
  <c r="F53" i="1"/>
  <c r="F12" i="1"/>
  <c r="F96" i="1"/>
  <c r="F23" i="1"/>
  <c r="F46" i="1"/>
  <c r="F89" i="1"/>
  <c r="F55" i="1"/>
  <c r="F54" i="1"/>
  <c r="F14" i="1"/>
  <c r="F8" i="1"/>
  <c r="F73" i="1"/>
  <c r="F84" i="1"/>
  <c r="F95" i="1"/>
  <c r="F64" i="1"/>
  <c r="F3" i="1"/>
  <c r="F40" i="1"/>
  <c r="F65" i="1"/>
  <c r="F32" i="1"/>
  <c r="F60" i="1"/>
  <c r="F91" i="1"/>
  <c r="F5" i="1"/>
  <c r="F25" i="1"/>
  <c r="F94" i="1"/>
  <c r="F69" i="1"/>
  <c r="F83" i="1"/>
  <c r="F21" i="1"/>
  <c r="F67" i="1"/>
  <c r="F2" i="1"/>
  <c r="F66" i="1"/>
  <c r="F16" i="1"/>
  <c r="F22" i="1"/>
  <c r="F41" i="1"/>
  <c r="F30" i="1"/>
  <c r="F88" i="1"/>
  <c r="F70" i="1"/>
  <c r="F81" i="1"/>
  <c r="F62" i="1"/>
  <c r="F90" i="1"/>
  <c r="F72" i="1"/>
  <c r="F71" i="1"/>
  <c r="F74" i="1"/>
  <c r="B6" i="2"/>
  <c r="C6" i="2" s="1"/>
  <c r="C2" i="2"/>
  <c r="C14" i="2"/>
  <c r="C1" i="2"/>
  <c r="B3" i="2"/>
  <c r="C3" i="2" s="1"/>
  <c r="B10" i="2"/>
  <c r="C10" i="2" s="1"/>
  <c r="Y98" i="1"/>
  <c r="AA74" i="1" s="1"/>
  <c r="Q98" i="1"/>
  <c r="E22" i="2" s="1"/>
  <c r="N98" i="1"/>
  <c r="E21" i="2" s="1"/>
  <c r="K98" i="1"/>
  <c r="E20" i="2" s="1"/>
  <c r="G98" i="1"/>
  <c r="E19" i="2" s="1"/>
  <c r="H145" i="4"/>
  <c r="G145" i="4"/>
  <c r="F145"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3" i="4"/>
  <c r="J145" i="4"/>
  <c r="K145" i="4"/>
  <c r="L145" i="4"/>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3" i="4"/>
  <c r="B4" i="2" l="1"/>
  <c r="C4" i="2" s="1"/>
  <c r="I145" i="4"/>
  <c r="M145" i="4"/>
  <c r="E144" i="4"/>
  <c r="E143" i="4"/>
  <c r="E142" i="4"/>
  <c r="E141" i="4"/>
  <c r="E140" i="4"/>
  <c r="E139" i="4"/>
  <c r="E138" i="4"/>
  <c r="E137" i="4"/>
  <c r="E136" i="4"/>
  <c r="E135" i="4"/>
  <c r="E134" i="4"/>
  <c r="E133"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D73" i="4"/>
  <c r="C73" i="4"/>
  <c r="B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D22" i="4"/>
  <c r="C22" i="4"/>
  <c r="B22" i="4"/>
  <c r="E21" i="4"/>
  <c r="E20" i="4"/>
  <c r="E19" i="4"/>
  <c r="E18" i="4"/>
  <c r="E17" i="4"/>
  <c r="E16" i="4"/>
  <c r="E15" i="4"/>
  <c r="E14" i="4"/>
  <c r="E13" i="4"/>
  <c r="D12" i="4"/>
  <c r="C12" i="4"/>
  <c r="E11" i="4"/>
  <c r="E132" i="4"/>
  <c r="E10" i="4"/>
  <c r="E9" i="4"/>
  <c r="E8" i="4"/>
  <c r="E7" i="4"/>
  <c r="E6" i="4"/>
  <c r="E5" i="4"/>
  <c r="D4" i="4"/>
  <c r="C4" i="4"/>
  <c r="B4" i="4"/>
  <c r="D3" i="4"/>
  <c r="C3" i="4"/>
  <c r="B3" i="4"/>
  <c r="R6" i="1"/>
  <c r="O5" i="1"/>
  <c r="B9" i="2" l="1"/>
  <c r="B145" i="4"/>
  <c r="C145" i="4"/>
  <c r="D145" i="4"/>
  <c r="E3" i="4"/>
  <c r="E22" i="4"/>
  <c r="E12" i="4"/>
  <c r="E73" i="4"/>
  <c r="E4" i="4"/>
  <c r="L4" i="1"/>
  <c r="O83" i="1"/>
  <c r="O34" i="1"/>
  <c r="O69" i="1"/>
  <c r="O67" i="1"/>
  <c r="O52" i="1"/>
  <c r="O27" i="1"/>
  <c r="O91" i="1"/>
  <c r="O20" i="1"/>
  <c r="O89" i="1"/>
  <c r="O3" i="1"/>
  <c r="R83" i="1"/>
  <c r="R69" i="1"/>
  <c r="R52" i="1"/>
  <c r="R34" i="1"/>
  <c r="R20" i="1"/>
  <c r="R3" i="1"/>
  <c r="R4" i="1"/>
  <c r="R81" i="1"/>
  <c r="R63" i="1"/>
  <c r="R50" i="1"/>
  <c r="R33" i="1"/>
  <c r="R18" i="1"/>
  <c r="O43" i="1"/>
  <c r="R95" i="1"/>
  <c r="R97" i="1"/>
  <c r="R65" i="1"/>
  <c r="R47" i="1"/>
  <c r="R31" i="1"/>
  <c r="R21" i="1"/>
  <c r="R93" i="1"/>
  <c r="R76" i="1"/>
  <c r="R64" i="1"/>
  <c r="R44" i="1"/>
  <c r="R28" i="1"/>
  <c r="R17" i="1"/>
  <c r="R27" i="1"/>
  <c r="R26" i="1"/>
  <c r="R91" i="1"/>
  <c r="R74" i="1"/>
  <c r="R67" i="1"/>
  <c r="R43" i="1"/>
  <c r="R12" i="1"/>
  <c r="R88" i="1"/>
  <c r="R77" i="1"/>
  <c r="R61" i="1"/>
  <c r="R39" i="1"/>
  <c r="R11" i="1"/>
  <c r="O74" i="1"/>
  <c r="O12" i="1"/>
  <c r="R85" i="1"/>
  <c r="R40" i="1"/>
  <c r="R57" i="1"/>
  <c r="R37" i="1"/>
  <c r="R25" i="1"/>
  <c r="R10" i="1"/>
  <c r="R84" i="1"/>
  <c r="R70" i="1"/>
  <c r="R53" i="1"/>
  <c r="R35" i="1"/>
  <c r="R16" i="1"/>
  <c r="R5" i="1"/>
  <c r="O82" i="1"/>
  <c r="O51" i="1"/>
  <c r="O59" i="1"/>
  <c r="O2" i="1"/>
  <c r="O4" i="1"/>
  <c r="O88" i="1"/>
  <c r="O81" i="1"/>
  <c r="O77" i="1"/>
  <c r="O63" i="1"/>
  <c r="O61" i="1"/>
  <c r="O50" i="1"/>
  <c r="O39" i="1"/>
  <c r="O33" i="1"/>
  <c r="O26" i="1"/>
  <c r="O18" i="1"/>
  <c r="O11" i="1"/>
  <c r="R89" i="1"/>
  <c r="R82" i="1"/>
  <c r="R75" i="1"/>
  <c r="R60" i="1"/>
  <c r="R58" i="1"/>
  <c r="R51" i="1"/>
  <c r="R46" i="1"/>
  <c r="R36" i="1"/>
  <c r="R59" i="1"/>
  <c r="R22" i="1"/>
  <c r="R7" i="1"/>
  <c r="R2" i="1"/>
  <c r="O60" i="1"/>
  <c r="O46" i="1"/>
  <c r="O22" i="1"/>
  <c r="O96" i="1"/>
  <c r="O90" i="1"/>
  <c r="O80" i="1"/>
  <c r="O73" i="1"/>
  <c r="O68" i="1"/>
  <c r="O56" i="1"/>
  <c r="O49" i="1"/>
  <c r="O41" i="1"/>
  <c r="O32" i="1"/>
  <c r="O24" i="1"/>
  <c r="O14" i="1"/>
  <c r="O8" i="1"/>
  <c r="O75" i="1"/>
  <c r="O58" i="1"/>
  <c r="O36" i="1"/>
  <c r="O7" i="1"/>
  <c r="O95" i="1"/>
  <c r="O85" i="1"/>
  <c r="O97" i="1"/>
  <c r="O40" i="1"/>
  <c r="O65" i="1"/>
  <c r="O57" i="1"/>
  <c r="O47" i="1"/>
  <c r="O37" i="1"/>
  <c r="O31" i="1"/>
  <c r="O25" i="1"/>
  <c r="O21" i="1"/>
  <c r="O10" i="1"/>
  <c r="R96" i="1"/>
  <c r="R90" i="1"/>
  <c r="R80" i="1"/>
  <c r="R73" i="1"/>
  <c r="R68" i="1"/>
  <c r="R56" i="1"/>
  <c r="R49" i="1"/>
  <c r="R41" i="1"/>
  <c r="R32" i="1"/>
  <c r="R24" i="1"/>
  <c r="R14" i="1"/>
  <c r="R8" i="1"/>
  <c r="O87" i="1"/>
  <c r="O71" i="1"/>
  <c r="O54" i="1"/>
  <c r="O38" i="1"/>
  <c r="O23" i="1"/>
  <c r="O9" i="1"/>
  <c r="O92" i="1"/>
  <c r="O86" i="1"/>
  <c r="O78" i="1"/>
  <c r="O72" i="1"/>
  <c r="O66" i="1"/>
  <c r="O55" i="1"/>
  <c r="O48" i="1"/>
  <c r="O42" i="1"/>
  <c r="O30" i="1"/>
  <c r="O19" i="1"/>
  <c r="O15" i="1"/>
  <c r="O6" i="1"/>
  <c r="R94" i="1"/>
  <c r="R87" i="1"/>
  <c r="R79" i="1"/>
  <c r="R71" i="1"/>
  <c r="R62" i="1"/>
  <c r="R54" i="1"/>
  <c r="R45" i="1"/>
  <c r="R38" i="1"/>
  <c r="R29" i="1"/>
  <c r="R23" i="1"/>
  <c r="R13" i="1"/>
  <c r="R9" i="1"/>
  <c r="O94" i="1"/>
  <c r="O79" i="1"/>
  <c r="O62" i="1"/>
  <c r="O45" i="1"/>
  <c r="O29" i="1"/>
  <c r="O13" i="1"/>
  <c r="O93" i="1"/>
  <c r="O84" i="1"/>
  <c r="O76" i="1"/>
  <c r="O70" i="1"/>
  <c r="O64" i="1"/>
  <c r="O53" i="1"/>
  <c r="O44" i="1"/>
  <c r="O35" i="1"/>
  <c r="O28" i="1"/>
  <c r="O16" i="1"/>
  <c r="O17" i="1"/>
  <c r="R92" i="1"/>
  <c r="R86" i="1"/>
  <c r="R78" i="1"/>
  <c r="R72" i="1"/>
  <c r="R66" i="1"/>
  <c r="R55" i="1"/>
  <c r="R48" i="1"/>
  <c r="R42" i="1"/>
  <c r="R30" i="1"/>
  <c r="R19" i="1"/>
  <c r="R15" i="1"/>
  <c r="C9" i="2" l="1"/>
  <c r="B7" i="2"/>
  <c r="B5" i="2" s="1"/>
  <c r="B11" i="2"/>
  <c r="C11" i="2" s="1"/>
  <c r="AB98" i="1"/>
  <c r="E145" i="4"/>
  <c r="L51" i="1"/>
  <c r="L24" i="1"/>
  <c r="L54" i="1"/>
  <c r="L49" i="1"/>
  <c r="L91" i="1"/>
  <c r="L7" i="1"/>
  <c r="L60" i="1"/>
  <c r="L90" i="1"/>
  <c r="L14" i="1"/>
  <c r="L10" i="1"/>
  <c r="L41" i="1"/>
  <c r="L75" i="1"/>
  <c r="L29" i="1"/>
  <c r="L42" i="1"/>
  <c r="L84" i="1"/>
  <c r="L15" i="1"/>
  <c r="L18" i="1"/>
  <c r="L40" i="1"/>
  <c r="L33" i="1"/>
  <c r="L16" i="1"/>
  <c r="L8" i="1"/>
  <c r="L47" i="1"/>
  <c r="L12" i="1"/>
  <c r="L2" i="1"/>
  <c r="L39" i="1"/>
  <c r="L35" i="1"/>
  <c r="L55" i="1"/>
  <c r="L9" i="1"/>
  <c r="L81" i="1"/>
  <c r="L44" i="1"/>
  <c r="L79" i="1"/>
  <c r="L95" i="1"/>
  <c r="L50" i="1"/>
  <c r="L22" i="1"/>
  <c r="L82" i="1"/>
  <c r="L53" i="1"/>
  <c r="L38" i="1"/>
  <c r="L73" i="1"/>
  <c r="L67" i="1"/>
  <c r="L69" i="1"/>
  <c r="L43" i="1"/>
  <c r="L20" i="1"/>
  <c r="L86" i="1"/>
  <c r="L61" i="1"/>
  <c r="L59" i="1"/>
  <c r="L89" i="1"/>
  <c r="L64" i="1"/>
  <c r="L52" i="1"/>
  <c r="L13" i="1"/>
  <c r="L96" i="1"/>
  <c r="L97" i="1"/>
  <c r="L57" i="1"/>
  <c r="L31" i="1"/>
  <c r="L66" i="1"/>
  <c r="L63" i="1"/>
  <c r="L5" i="1"/>
  <c r="L70" i="1"/>
  <c r="L65" i="1"/>
  <c r="L27" i="1"/>
  <c r="L23" i="1"/>
  <c r="L92" i="1"/>
  <c r="L72" i="1"/>
  <c r="L48" i="1"/>
  <c r="L87" i="1"/>
  <c r="L62" i="1"/>
  <c r="L36" i="1"/>
  <c r="L11" i="1"/>
  <c r="L77" i="1"/>
  <c r="L46" i="1"/>
  <c r="L17" i="1"/>
  <c r="L76" i="1"/>
  <c r="L78" i="1"/>
  <c r="L37" i="1"/>
  <c r="L3" i="1"/>
  <c r="L45" i="1"/>
  <c r="L80" i="1"/>
  <c r="L56" i="1"/>
  <c r="L34" i="1"/>
  <c r="L94" i="1"/>
  <c r="L74" i="1"/>
  <c r="L85" i="1"/>
  <c r="L21" i="1"/>
  <c r="L71" i="1"/>
  <c r="L26" i="1"/>
  <c r="L88" i="1"/>
  <c r="L58" i="1"/>
  <c r="L28" i="1"/>
  <c r="L93" i="1"/>
  <c r="L32" i="1"/>
  <c r="L68" i="1"/>
  <c r="L30" i="1"/>
  <c r="L6" i="1"/>
  <c r="L19" i="1"/>
  <c r="L83" i="1"/>
  <c r="L25" i="1"/>
  <c r="T4" i="1"/>
  <c r="T2" i="1"/>
  <c r="T3" i="1"/>
  <c r="T5" i="1"/>
  <c r="T6" i="1"/>
  <c r="T9" i="1"/>
  <c r="T10" i="1"/>
  <c r="T8" i="1"/>
  <c r="T11" i="1"/>
  <c r="T7" i="1"/>
  <c r="T12" i="1"/>
  <c r="T17" i="1"/>
  <c r="T15" i="1"/>
  <c r="T13" i="1"/>
  <c r="T21" i="1"/>
  <c r="T14" i="1"/>
  <c r="T18" i="1"/>
  <c r="T22" i="1"/>
  <c r="T20" i="1"/>
  <c r="T16" i="1"/>
  <c r="T19" i="1"/>
  <c r="T23" i="1"/>
  <c r="T25" i="1"/>
  <c r="T24" i="1"/>
  <c r="T26" i="1"/>
  <c r="T59" i="1"/>
  <c r="T27" i="1"/>
  <c r="T28" i="1"/>
  <c r="T30" i="1"/>
  <c r="T29" i="1"/>
  <c r="T31" i="1"/>
  <c r="T32" i="1"/>
  <c r="T33" i="1"/>
  <c r="T36" i="1"/>
  <c r="T34" i="1"/>
  <c r="T35" i="1"/>
  <c r="T42" i="1"/>
  <c r="T38" i="1"/>
  <c r="T37" i="1"/>
  <c r="T41" i="1"/>
  <c r="T39" i="1"/>
  <c r="T46" i="1"/>
  <c r="T43" i="1"/>
  <c r="T44" i="1"/>
  <c r="T48" i="1"/>
  <c r="T45" i="1"/>
  <c r="T47" i="1"/>
  <c r="T49" i="1"/>
  <c r="T50" i="1"/>
  <c r="T51" i="1"/>
  <c r="T52" i="1"/>
  <c r="T53" i="1"/>
  <c r="T55" i="1"/>
  <c r="T54" i="1"/>
  <c r="T57" i="1"/>
  <c r="T56" i="1"/>
  <c r="T61" i="1"/>
  <c r="T58" i="1"/>
  <c r="T67" i="1"/>
  <c r="T64" i="1"/>
  <c r="T66" i="1"/>
  <c r="T62" i="1"/>
  <c r="T65" i="1"/>
  <c r="T68" i="1"/>
  <c r="T63" i="1"/>
  <c r="T60" i="1"/>
  <c r="T69" i="1"/>
  <c r="T70" i="1"/>
  <c r="T72" i="1"/>
  <c r="T71" i="1"/>
  <c r="T40" i="1"/>
  <c r="T73" i="1"/>
  <c r="T77" i="1"/>
  <c r="T75" i="1"/>
  <c r="T74" i="1"/>
  <c r="T76" i="1"/>
  <c r="T78" i="1"/>
  <c r="T79" i="1"/>
  <c r="T97" i="1"/>
  <c r="T80" i="1"/>
  <c r="T81" i="1"/>
  <c r="T82" i="1"/>
  <c r="T83" i="1"/>
  <c r="T84" i="1"/>
  <c r="T86" i="1"/>
  <c r="T87" i="1"/>
  <c r="T85" i="1"/>
  <c r="T90" i="1"/>
  <c r="T88" i="1"/>
  <c r="T89" i="1"/>
  <c r="T91" i="1"/>
  <c r="T93" i="1"/>
  <c r="T92" i="1"/>
  <c r="T94" i="1"/>
  <c r="T95" i="1"/>
  <c r="T96" i="1"/>
  <c r="U4" i="1"/>
  <c r="U2" i="1"/>
  <c r="U3" i="1"/>
  <c r="U5" i="1"/>
  <c r="U6" i="1"/>
  <c r="U9" i="1"/>
  <c r="U10" i="1"/>
  <c r="U8" i="1"/>
  <c r="U11" i="1"/>
  <c r="U7" i="1"/>
  <c r="U12" i="1"/>
  <c r="U17" i="1"/>
  <c r="U15" i="1"/>
  <c r="U13" i="1"/>
  <c r="U21" i="1"/>
  <c r="U14" i="1"/>
  <c r="U18" i="1"/>
  <c r="U22" i="1"/>
  <c r="U20" i="1"/>
  <c r="U16" i="1"/>
  <c r="U19" i="1"/>
  <c r="U23" i="1"/>
  <c r="U25" i="1"/>
  <c r="U24" i="1"/>
  <c r="U26" i="1"/>
  <c r="U59" i="1"/>
  <c r="U27" i="1"/>
  <c r="U28" i="1"/>
  <c r="U30" i="1"/>
  <c r="U29" i="1"/>
  <c r="U31" i="1"/>
  <c r="U32" i="1"/>
  <c r="U33" i="1"/>
  <c r="U36" i="1"/>
  <c r="U34" i="1"/>
  <c r="U35" i="1"/>
  <c r="U42" i="1"/>
  <c r="U38" i="1"/>
  <c r="U37" i="1"/>
  <c r="U41" i="1"/>
  <c r="U39" i="1"/>
  <c r="U46" i="1"/>
  <c r="U43" i="1"/>
  <c r="U44" i="1"/>
  <c r="U48" i="1"/>
  <c r="U45" i="1"/>
  <c r="U47" i="1"/>
  <c r="U49" i="1"/>
  <c r="U50" i="1"/>
  <c r="U51" i="1"/>
  <c r="U52" i="1"/>
  <c r="U53" i="1"/>
  <c r="U55" i="1"/>
  <c r="U54" i="1"/>
  <c r="U57" i="1"/>
  <c r="U56" i="1"/>
  <c r="U61" i="1"/>
  <c r="U58" i="1"/>
  <c r="U67" i="1"/>
  <c r="U64" i="1"/>
  <c r="U66" i="1"/>
  <c r="U62" i="1"/>
  <c r="U65" i="1"/>
  <c r="U68" i="1"/>
  <c r="U63" i="1"/>
  <c r="U60" i="1"/>
  <c r="U69" i="1"/>
  <c r="U70" i="1"/>
  <c r="U72" i="1"/>
  <c r="U71" i="1"/>
  <c r="U40" i="1"/>
  <c r="U73" i="1"/>
  <c r="U77" i="1"/>
  <c r="U75" i="1"/>
  <c r="U74" i="1"/>
  <c r="U76" i="1"/>
  <c r="U78" i="1"/>
  <c r="U79" i="1"/>
  <c r="U97" i="1"/>
  <c r="U80" i="1"/>
  <c r="U81" i="1"/>
  <c r="U82" i="1"/>
  <c r="U83" i="1"/>
  <c r="U84" i="1"/>
  <c r="U86" i="1"/>
  <c r="U87" i="1"/>
  <c r="U85" i="1"/>
  <c r="U90" i="1"/>
  <c r="U88" i="1"/>
  <c r="U89" i="1"/>
  <c r="U91" i="1"/>
  <c r="U93" i="1"/>
  <c r="U92" i="1"/>
  <c r="U94" i="1"/>
  <c r="U95" i="1"/>
  <c r="U96" i="1"/>
  <c r="I90" i="1"/>
  <c r="V96" i="1" l="1"/>
  <c r="V84" i="1"/>
  <c r="V44" i="1"/>
  <c r="V16" i="1"/>
  <c r="V69" i="1"/>
  <c r="V43" i="1"/>
  <c r="V20" i="1"/>
  <c r="V3" i="1"/>
  <c r="V89" i="1"/>
  <c r="V82" i="1"/>
  <c r="V75" i="1"/>
  <c r="V60" i="1"/>
  <c r="V58" i="1"/>
  <c r="V51" i="1"/>
  <c r="V46" i="1"/>
  <c r="V36" i="1"/>
  <c r="V59" i="1"/>
  <c r="V22" i="1"/>
  <c r="V7" i="1"/>
  <c r="V2" i="1"/>
  <c r="V88" i="1"/>
  <c r="V81" i="1"/>
  <c r="V77" i="1"/>
  <c r="V63" i="1"/>
  <c r="V61" i="1"/>
  <c r="V50" i="1"/>
  <c r="V39" i="1"/>
  <c r="V33" i="1"/>
  <c r="V26" i="1"/>
  <c r="V18" i="1"/>
  <c r="V11" i="1"/>
  <c r="V4" i="1"/>
  <c r="V93" i="1"/>
  <c r="V64" i="1"/>
  <c r="V17" i="1"/>
  <c r="V74" i="1"/>
  <c r="V34" i="1"/>
  <c r="V90" i="1"/>
  <c r="V68" i="1"/>
  <c r="V41" i="1"/>
  <c r="V14" i="1"/>
  <c r="V85" i="1"/>
  <c r="V47" i="1"/>
  <c r="V10" i="1"/>
  <c r="V70" i="1"/>
  <c r="V35" i="1"/>
  <c r="V5" i="1"/>
  <c r="V83" i="1"/>
  <c r="V52" i="1"/>
  <c r="V12" i="1"/>
  <c r="V80" i="1"/>
  <c r="V56" i="1"/>
  <c r="V32" i="1"/>
  <c r="V8" i="1"/>
  <c r="V95" i="1"/>
  <c r="V40" i="1"/>
  <c r="V57" i="1"/>
  <c r="V31" i="1"/>
  <c r="V25" i="1"/>
  <c r="V94" i="1"/>
  <c r="V87" i="1"/>
  <c r="V79" i="1"/>
  <c r="V71" i="1"/>
  <c r="V62" i="1"/>
  <c r="V54" i="1"/>
  <c r="V45" i="1"/>
  <c r="V38" i="1"/>
  <c r="V29" i="1"/>
  <c r="V23" i="1"/>
  <c r="V13" i="1"/>
  <c r="V9" i="1"/>
  <c r="V76" i="1"/>
  <c r="V53" i="1"/>
  <c r="V28" i="1"/>
  <c r="V91" i="1"/>
  <c r="V67" i="1"/>
  <c r="V27" i="1"/>
  <c r="V73" i="1"/>
  <c r="V49" i="1"/>
  <c r="V24" i="1"/>
  <c r="V97" i="1"/>
  <c r="V65" i="1"/>
  <c r="V37" i="1"/>
  <c r="V21" i="1"/>
  <c r="V92" i="1"/>
  <c r="V86" i="1"/>
  <c r="V78" i="1"/>
  <c r="V72" i="1"/>
  <c r="V66" i="1"/>
  <c r="V55" i="1"/>
  <c r="V48" i="1"/>
  <c r="V42" i="1"/>
  <c r="V30" i="1"/>
  <c r="V19" i="1"/>
  <c r="V15" i="1"/>
  <c r="V6" i="1"/>
  <c r="U98" i="1"/>
  <c r="T98" i="1"/>
  <c r="AA12" i="1"/>
  <c r="AA21" i="1"/>
  <c r="AA25" i="1"/>
  <c r="AA33" i="1"/>
  <c r="AA48" i="1"/>
  <c r="AA57" i="1"/>
  <c r="AA65" i="1"/>
  <c r="AA70" i="1"/>
  <c r="AA80" i="1"/>
  <c r="AA84" i="1"/>
  <c r="AA88" i="1"/>
  <c r="AA17" i="1"/>
  <c r="AA24" i="1"/>
  <c r="AA39" i="1"/>
  <c r="AA58" i="1"/>
  <c r="AA78" i="1"/>
  <c r="AA91" i="1"/>
  <c r="AA26" i="1"/>
  <c r="AA47" i="1"/>
  <c r="AA67" i="1"/>
  <c r="AA87" i="1"/>
  <c r="AA3" i="1"/>
  <c r="AA16" i="1"/>
  <c r="AA42" i="1"/>
  <c r="AA53" i="1"/>
  <c r="AA79" i="1"/>
  <c r="AA15" i="1"/>
  <c r="AA19" i="1"/>
  <c r="AA55" i="1"/>
  <c r="AA77" i="1"/>
  <c r="AA6" i="1"/>
  <c r="AA23" i="1"/>
  <c r="AA38" i="1"/>
  <c r="AA54" i="1"/>
  <c r="AA75" i="1"/>
  <c r="AA90" i="1"/>
  <c r="AA4" i="1"/>
  <c r="AA9" i="1"/>
  <c r="AA14" i="1"/>
  <c r="AA28" i="1"/>
  <c r="AA36" i="1"/>
  <c r="AA37" i="1"/>
  <c r="AA50" i="1"/>
  <c r="AA56" i="1"/>
  <c r="AA72" i="1"/>
  <c r="AA76" i="1"/>
  <c r="AA89" i="1"/>
  <c r="AA94" i="1"/>
  <c r="AA22" i="1"/>
  <c r="AA35" i="1"/>
  <c r="AA40" i="1"/>
  <c r="AA95" i="1"/>
  <c r="AA20" i="1"/>
  <c r="AA52" i="1"/>
  <c r="AA73" i="1"/>
  <c r="AA93" i="1"/>
  <c r="AA31" i="1"/>
  <c r="AA63" i="1"/>
  <c r="AA11" i="1"/>
  <c r="AA59" i="1"/>
  <c r="AA43" i="1"/>
  <c r="AA66" i="1"/>
  <c r="AA97" i="1"/>
  <c r="AA92" i="1"/>
  <c r="AA13" i="1"/>
  <c r="AA69" i="1"/>
  <c r="AA10" i="1"/>
  <c r="AA18" i="1"/>
  <c r="AA30" i="1"/>
  <c r="AA34" i="1"/>
  <c r="AA41" i="1"/>
  <c r="AA51" i="1"/>
  <c r="AA61" i="1"/>
  <c r="AA71" i="1"/>
  <c r="AA81" i="1"/>
  <c r="AA29" i="1"/>
  <c r="AA45" i="1"/>
  <c r="AA86" i="1"/>
  <c r="AA2" i="1"/>
  <c r="AA46" i="1"/>
  <c r="AA68" i="1"/>
  <c r="AA82" i="1"/>
  <c r="AA96" i="1"/>
  <c r="AA8" i="1"/>
  <c r="AA64" i="1"/>
  <c r="AA85" i="1"/>
  <c r="AA5" i="1"/>
  <c r="AA32" i="1"/>
  <c r="AA49" i="1"/>
  <c r="AA60" i="1"/>
  <c r="AA83" i="1"/>
  <c r="AA7" i="1"/>
  <c r="AA27" i="1"/>
  <c r="AA44" i="1"/>
  <c r="AA62" i="1"/>
  <c r="Z42" i="1"/>
  <c r="Z75" i="1"/>
  <c r="Z38" i="1"/>
  <c r="Z29" i="1"/>
  <c r="Z46" i="1"/>
  <c r="Z88" i="1"/>
  <c r="Z66" i="1"/>
  <c r="Z94" i="1"/>
  <c r="Z60" i="1"/>
  <c r="Z51" i="1"/>
  <c r="Z47" i="1"/>
  <c r="Z55" i="1"/>
  <c r="Z63" i="1"/>
  <c r="Z50" i="1"/>
  <c r="Z80" i="1"/>
  <c r="Z74" i="1"/>
  <c r="Z97" i="1"/>
  <c r="Z95" i="1"/>
  <c r="Z96" i="1"/>
  <c r="Z6" i="1"/>
  <c r="Z62" i="1"/>
  <c r="Z89" i="1"/>
  <c r="Z23" i="1"/>
  <c r="Z68" i="1"/>
  <c r="Z10" i="1"/>
  <c r="Z45" i="1"/>
  <c r="Z8" i="1"/>
  <c r="Z3" i="1"/>
  <c r="Z98" i="1"/>
  <c r="Z93" i="1"/>
  <c r="Z37" i="1"/>
  <c r="Z87" i="1"/>
  <c r="Z67" i="1"/>
  <c r="Z61" i="1"/>
  <c r="Z13" i="1"/>
  <c r="Z20" i="1"/>
  <c r="Z17" i="1"/>
  <c r="Z79" i="1"/>
  <c r="Z72" i="1"/>
  <c r="Z5" i="1"/>
  <c r="Z31" i="1"/>
  <c r="Z25" i="1"/>
  <c r="Z53" i="1"/>
  <c r="Z4" i="1"/>
  <c r="Z77" i="1"/>
  <c r="Z11" i="1"/>
  <c r="Z28" i="1"/>
  <c r="Z81" i="1"/>
  <c r="Z70" i="1"/>
  <c r="Z90" i="1"/>
  <c r="Z7" i="1"/>
  <c r="Z64" i="1"/>
  <c r="Z73" i="1"/>
  <c r="Z58" i="1"/>
  <c r="Z57" i="1"/>
  <c r="Z59" i="1"/>
  <c r="Z27" i="1"/>
  <c r="Z76" i="1"/>
  <c r="Z30" i="1"/>
  <c r="Z12" i="1"/>
  <c r="Z84" i="1"/>
  <c r="Z83" i="1"/>
  <c r="Z21" i="1"/>
  <c r="Z49" i="1"/>
  <c r="Z71" i="1"/>
  <c r="Z56" i="1"/>
  <c r="Z54" i="1"/>
  <c r="Z86" i="1"/>
  <c r="Z39" i="1"/>
  <c r="Z2" i="1"/>
  <c r="Z40" i="1"/>
  <c r="Z36" i="1"/>
  <c r="Z35" i="1"/>
  <c r="Z44" i="1"/>
  <c r="Z33" i="1"/>
  <c r="Z91" i="1"/>
  <c r="Z18" i="1"/>
  <c r="Z22" i="1"/>
  <c r="Z9" i="1"/>
  <c r="Z78" i="1"/>
  <c r="Z43" i="1"/>
  <c r="Z92" i="1"/>
  <c r="Z85" i="1"/>
  <c r="Z41" i="1"/>
  <c r="Z16" i="1"/>
  <c r="Z69" i="1"/>
  <c r="Z32" i="1"/>
  <c r="Z65" i="1"/>
  <c r="Z14" i="1"/>
  <c r="Z82" i="1"/>
  <c r="Z48" i="1"/>
  <c r="Z52" i="1"/>
  <c r="Z26" i="1"/>
  <c r="Z19" i="1"/>
  <c r="Z24" i="1"/>
  <c r="Z34" i="1"/>
  <c r="Z15" i="1"/>
  <c r="I11" i="1"/>
  <c r="I18" i="1"/>
  <c r="I26" i="1"/>
  <c r="I33" i="1"/>
  <c r="I39" i="1"/>
  <c r="I50" i="1"/>
  <c r="I61" i="1"/>
  <c r="I63" i="1"/>
  <c r="I77" i="1"/>
  <c r="I81" i="1"/>
  <c r="I88" i="1"/>
  <c r="I4" i="1"/>
  <c r="I2" i="1"/>
  <c r="I7" i="1"/>
  <c r="I22" i="1"/>
  <c r="I59" i="1"/>
  <c r="I36" i="1"/>
  <c r="I46" i="1"/>
  <c r="I51" i="1"/>
  <c r="I58" i="1"/>
  <c r="I60" i="1"/>
  <c r="I75" i="1"/>
  <c r="I82" i="1"/>
  <c r="I89" i="1"/>
  <c r="I3" i="1"/>
  <c r="I20" i="1"/>
  <c r="I27" i="1"/>
  <c r="I34" i="1"/>
  <c r="I43" i="1"/>
  <c r="I52" i="1"/>
  <c r="I67" i="1"/>
  <c r="I74" i="1"/>
  <c r="I83" i="1"/>
  <c r="I32" i="1"/>
  <c r="I49" i="1"/>
  <c r="I80" i="1"/>
  <c r="I12" i="1"/>
  <c r="I69" i="1"/>
  <c r="I91" i="1"/>
  <c r="I24" i="1"/>
  <c r="I5" i="1"/>
  <c r="I17" i="1"/>
  <c r="I16" i="1"/>
  <c r="I28" i="1"/>
  <c r="I35" i="1"/>
  <c r="I44" i="1"/>
  <c r="I53" i="1"/>
  <c r="I64" i="1"/>
  <c r="I70" i="1"/>
  <c r="I76" i="1"/>
  <c r="I84" i="1"/>
  <c r="I93" i="1"/>
  <c r="I6" i="1"/>
  <c r="I15" i="1"/>
  <c r="I19" i="1"/>
  <c r="I30" i="1"/>
  <c r="I42" i="1"/>
  <c r="I48" i="1"/>
  <c r="I66" i="1"/>
  <c r="I72" i="1"/>
  <c r="I78" i="1"/>
  <c r="I86" i="1"/>
  <c r="I92" i="1"/>
  <c r="I14" i="1"/>
  <c r="I73" i="1"/>
  <c r="I55" i="1"/>
  <c r="I41" i="1"/>
  <c r="I68" i="1"/>
  <c r="I96" i="1"/>
  <c r="I9" i="1"/>
  <c r="I13" i="1"/>
  <c r="I23" i="1"/>
  <c r="I29" i="1"/>
  <c r="I38" i="1"/>
  <c r="I45" i="1"/>
  <c r="I54" i="1"/>
  <c r="I62" i="1"/>
  <c r="I71" i="1"/>
  <c r="I79" i="1"/>
  <c r="I87" i="1"/>
  <c r="I94" i="1"/>
  <c r="I10" i="1"/>
  <c r="I21" i="1"/>
  <c r="I25" i="1"/>
  <c r="I31" i="1"/>
  <c r="I37" i="1"/>
  <c r="I47" i="1"/>
  <c r="I57" i="1"/>
  <c r="I65" i="1"/>
  <c r="I40" i="1"/>
  <c r="I97" i="1"/>
  <c r="I85" i="1"/>
  <c r="I95" i="1"/>
  <c r="I8" i="1"/>
  <c r="I56" i="1"/>
  <c r="B23" i="2" l="1"/>
  <c r="E23" i="2"/>
  <c r="B24" i="2"/>
  <c r="E24" i="2"/>
  <c r="B19" i="2" l="1"/>
  <c r="B22" i="2"/>
  <c r="B21" i="2"/>
  <c r="B20" i="2"/>
  <c r="E25" i="2"/>
  <c r="C5" i="2" l="1"/>
  <c r="B13" i="2"/>
  <c r="C13" i="2" s="1"/>
  <c r="C7" i="2"/>
  <c r="C19" i="2" l="1"/>
  <c r="B25" i="2"/>
  <c r="C20" i="2"/>
  <c r="C21" i="2"/>
  <c r="C22" i="2"/>
  <c r="W70" i="1" l="1"/>
  <c r="AM70" i="1" s="1"/>
  <c r="W36" i="1"/>
  <c r="AM36" i="1" s="1"/>
  <c r="W38" i="1"/>
  <c r="AM38" i="1" s="1"/>
  <c r="W27" i="1"/>
  <c r="AM27" i="1" s="1"/>
  <c r="W63" i="1"/>
  <c r="AM63" i="1" s="1"/>
  <c r="W13" i="1"/>
  <c r="AM13" i="1" s="1"/>
  <c r="W11" i="1"/>
  <c r="AM11" i="1" s="1"/>
  <c r="W57" i="1"/>
  <c r="AM57" i="1" s="1"/>
  <c r="W88" i="1"/>
  <c r="AM88" i="1" s="1"/>
  <c r="W15" i="1"/>
  <c r="AM15" i="1" s="1"/>
  <c r="W24" i="1"/>
  <c r="AM24" i="1" s="1"/>
  <c r="W18" i="1"/>
  <c r="AM18" i="1" s="1"/>
  <c r="W2" i="1"/>
  <c r="AM2" i="1" s="1"/>
  <c r="W96" i="1"/>
  <c r="AM96" i="1" s="1"/>
  <c r="W8" i="1"/>
  <c r="AM8" i="1" s="1"/>
  <c r="W58" i="1"/>
  <c r="AM58" i="1" s="1"/>
  <c r="W22" i="1"/>
  <c r="AM22" i="1" s="1"/>
  <c r="W43" i="1"/>
  <c r="W40" i="1"/>
  <c r="AM40" i="1" s="1"/>
  <c r="W86" i="1"/>
  <c r="AM86" i="1" s="1"/>
  <c r="W53" i="1"/>
  <c r="AM53" i="1" s="1"/>
  <c r="W64" i="1"/>
  <c r="AM64" i="1" s="1"/>
  <c r="W66" i="1"/>
  <c r="AM66" i="1" s="1"/>
  <c r="W60" i="1"/>
  <c r="AM60" i="1" s="1"/>
  <c r="W35" i="1"/>
  <c r="AM35" i="1" s="1"/>
  <c r="W75" i="1"/>
  <c r="W49" i="1"/>
  <c r="AM49" i="1" s="1"/>
  <c r="W61" i="1"/>
  <c r="AM61" i="1" s="1"/>
  <c r="W82" i="1"/>
  <c r="AM82" i="1" s="1"/>
  <c r="W20" i="1"/>
  <c r="AM20" i="1" s="1"/>
  <c r="W80" i="1"/>
  <c r="W21" i="1"/>
  <c r="AM21" i="1" s="1"/>
  <c r="W56" i="1"/>
  <c r="AM56" i="1" s="1"/>
  <c r="W6" i="1"/>
  <c r="AM6" i="1" s="1"/>
  <c r="W79" i="1"/>
  <c r="AM79" i="1" s="1"/>
  <c r="W28" i="1"/>
  <c r="AM28" i="1" s="1"/>
  <c r="W62" i="1"/>
  <c r="W42" i="1"/>
  <c r="W48" i="1"/>
  <c r="AM48" i="1" s="1"/>
  <c r="W67" i="1"/>
  <c r="AM67" i="1" s="1"/>
  <c r="W39" i="1"/>
  <c r="AM39" i="1" s="1"/>
  <c r="W89" i="1"/>
  <c r="AM89" i="1" s="1"/>
  <c r="W41" i="1"/>
  <c r="AM41" i="1" s="1"/>
  <c r="W25" i="1"/>
  <c r="AM25" i="1" s="1"/>
  <c r="W71" i="1"/>
  <c r="W54" i="1"/>
  <c r="AM54" i="1" s="1"/>
  <c r="W32" i="1"/>
  <c r="AM32" i="1" s="1"/>
  <c r="W50" i="1"/>
  <c r="W95" i="1"/>
  <c r="AM95" i="1" s="1"/>
  <c r="W10" i="1"/>
  <c r="AM10" i="1" s="1"/>
  <c r="J98" i="1"/>
  <c r="W68" i="1"/>
  <c r="AM68" i="1" s="1"/>
  <c r="W12" i="1"/>
  <c r="AM12" i="1" s="1"/>
  <c r="W76" i="1"/>
  <c r="AM76" i="1" s="1"/>
  <c r="W33" i="1"/>
  <c r="AM33" i="1" s="1"/>
  <c r="W77" i="1"/>
  <c r="W55" i="1"/>
  <c r="AM55" i="1" s="1"/>
  <c r="W37" i="1"/>
  <c r="AM37" i="1" s="1"/>
  <c r="W91" i="1"/>
  <c r="AM91" i="1" s="1"/>
  <c r="W59" i="1"/>
  <c r="AM59" i="1" s="1"/>
  <c r="W74" i="1"/>
  <c r="W29" i="1"/>
  <c r="AM29" i="1" s="1"/>
  <c r="W52" i="1"/>
  <c r="W97" i="1"/>
  <c r="AM97" i="1" s="1"/>
  <c r="W5" i="1"/>
  <c r="AM5" i="1" s="1"/>
  <c r="W46" i="1"/>
  <c r="AM46" i="1" s="1"/>
  <c r="W90" i="1"/>
  <c r="AM90" i="1" s="1"/>
  <c r="W65" i="1"/>
  <c r="AM65" i="1" s="1"/>
  <c r="W31" i="1"/>
  <c r="AM31" i="1" s="1"/>
  <c r="W51" i="1"/>
  <c r="AM51" i="1" s="1"/>
  <c r="W45" i="1"/>
  <c r="AM45" i="1" s="1"/>
  <c r="W16" i="1"/>
  <c r="AM16" i="1" s="1"/>
  <c r="W34" i="1"/>
  <c r="AM34" i="1" s="1"/>
  <c r="W44" i="1"/>
  <c r="AM44" i="1" s="1"/>
  <c r="W47" i="1"/>
  <c r="AM47" i="1" s="1"/>
  <c r="W9" i="1"/>
  <c r="AM9" i="1" s="1"/>
  <c r="W26" i="1"/>
  <c r="AM26" i="1" s="1"/>
  <c r="W30" i="1"/>
  <c r="AM30" i="1" s="1"/>
  <c r="W85" i="1"/>
  <c r="AM85" i="1" s="1"/>
  <c r="W93" i="1"/>
  <c r="S98" i="1"/>
  <c r="M98" i="1"/>
  <c r="W87" i="1"/>
  <c r="AM87" i="1" s="1"/>
  <c r="W14" i="1"/>
  <c r="AM14" i="1" s="1"/>
  <c r="W94" i="1"/>
  <c r="AM94" i="1" s="1"/>
  <c r="W3" i="1"/>
  <c r="AM3" i="1" s="1"/>
  <c r="W7" i="1"/>
  <c r="AM7" i="1" s="1"/>
  <c r="W83" i="1"/>
  <c r="AM83" i="1" s="1"/>
  <c r="W17" i="1"/>
  <c r="AM17" i="1" s="1"/>
  <c r="W72" i="1"/>
  <c r="AM72" i="1" s="1"/>
  <c r="W69" i="1"/>
  <c r="AM69" i="1" s="1"/>
  <c r="W84" i="1"/>
  <c r="AM84" i="1" s="1"/>
  <c r="W19" i="1"/>
  <c r="AM19" i="1" s="1"/>
  <c r="P98" i="1"/>
  <c r="W78" i="1"/>
  <c r="AM78" i="1" s="1"/>
  <c r="W23" i="1"/>
  <c r="AM23" i="1" s="1"/>
  <c r="W73" i="1"/>
  <c r="AM73" i="1" s="1"/>
  <c r="W92" i="1"/>
  <c r="AM92" i="1" s="1"/>
  <c r="W81" i="1"/>
  <c r="AM81" i="1" s="1"/>
  <c r="AY97" i="1" l="1"/>
  <c r="AZ58" i="1"/>
  <c r="AZ78" i="1"/>
  <c r="AY7" i="1"/>
  <c r="AY85" i="1"/>
  <c r="AY45" i="1"/>
  <c r="AZ33" i="1"/>
  <c r="AW32" i="1"/>
  <c r="AX48" i="1"/>
  <c r="AW66" i="1"/>
  <c r="AW8" i="1"/>
  <c r="AX11" i="1"/>
  <c r="AW16" i="1"/>
  <c r="AW21" i="1"/>
  <c r="AW3" i="1"/>
  <c r="AW30" i="1"/>
  <c r="AX51" i="1"/>
  <c r="AY29" i="1"/>
  <c r="AY76" i="1"/>
  <c r="AW54" i="1"/>
  <c r="AX20" i="1"/>
  <c r="AX64" i="1"/>
  <c r="AX96" i="1"/>
  <c r="AY13" i="1"/>
  <c r="AW23" i="1"/>
  <c r="AW60" i="1"/>
  <c r="AY19" i="1"/>
  <c r="AX94" i="1"/>
  <c r="AY26" i="1"/>
  <c r="AW31" i="1"/>
  <c r="AX12" i="1"/>
  <c r="AM62" i="1"/>
  <c r="AX82" i="1"/>
  <c r="AX53" i="1"/>
  <c r="AW2" i="1"/>
  <c r="AZ63" i="1"/>
  <c r="AW83" i="1"/>
  <c r="AX57" i="1"/>
  <c r="AX84" i="1"/>
  <c r="AW14" i="1"/>
  <c r="AY9" i="1"/>
  <c r="AW65" i="1"/>
  <c r="AY59" i="1"/>
  <c r="AX68" i="1"/>
  <c r="AW25" i="1"/>
  <c r="AY28" i="1"/>
  <c r="AY61" i="1"/>
  <c r="AX86" i="1"/>
  <c r="AZ18" i="1"/>
  <c r="AY27" i="1"/>
  <c r="AW67" i="1"/>
  <c r="AW81" i="1"/>
  <c r="AW69" i="1"/>
  <c r="AW87" i="1"/>
  <c r="AX47" i="1"/>
  <c r="AW90" i="1"/>
  <c r="AW91" i="1"/>
  <c r="AW41" i="1"/>
  <c r="AY79" i="1"/>
  <c r="AZ49" i="1"/>
  <c r="AX40" i="1"/>
  <c r="AX24" i="1"/>
  <c r="AX38" i="1"/>
  <c r="AW72" i="1"/>
  <c r="AY44" i="1"/>
  <c r="AW46" i="1"/>
  <c r="AY37" i="1"/>
  <c r="AW10" i="1"/>
  <c r="AX89" i="1"/>
  <c r="AX6" i="1"/>
  <c r="AX15" i="1"/>
  <c r="AY36" i="1"/>
  <c r="AZ92" i="1"/>
  <c r="AW73" i="1"/>
  <c r="AX17" i="1"/>
  <c r="AW34" i="1"/>
  <c r="AX5" i="1"/>
  <c r="AW55" i="1"/>
  <c r="AW95" i="1"/>
  <c r="AX39" i="1"/>
  <c r="AX56" i="1"/>
  <c r="AY35" i="1"/>
  <c r="AW22" i="1"/>
  <c r="AW88" i="1"/>
  <c r="AW70" i="1"/>
  <c r="AO52" i="1"/>
  <c r="AO75" i="1"/>
  <c r="AO93" i="1"/>
  <c r="W4" i="1"/>
  <c r="AM4" i="1" s="1"/>
  <c r="AS4" i="1" s="1"/>
  <c r="V98" i="1"/>
  <c r="AS36" i="1" l="1"/>
  <c r="AS68" i="1"/>
  <c r="AS62" i="1"/>
  <c r="AO62" i="1"/>
  <c r="AS7" i="1"/>
  <c r="AS77" i="1"/>
  <c r="AW62" i="1"/>
  <c r="AS49" i="1"/>
  <c r="AS94" i="1"/>
  <c r="AS73" i="1"/>
  <c r="AS38" i="1"/>
  <c r="AS79" i="1"/>
  <c r="AS67" i="1"/>
  <c r="AS61" i="1"/>
  <c r="AS59" i="1"/>
  <c r="AS84" i="1"/>
  <c r="AS2" i="1"/>
  <c r="AS12" i="1"/>
  <c r="AS19" i="1"/>
  <c r="AS96" i="1"/>
  <c r="AS76" i="1"/>
  <c r="AS3" i="1"/>
  <c r="AS8" i="1"/>
  <c r="AS33" i="1"/>
  <c r="AS78" i="1"/>
  <c r="AS22" i="1"/>
  <c r="AS90" i="1"/>
  <c r="AS54" i="1"/>
  <c r="AS55" i="1"/>
  <c r="AS37" i="1"/>
  <c r="AS47" i="1"/>
  <c r="AS42" i="1"/>
  <c r="AS17" i="1"/>
  <c r="AS81" i="1"/>
  <c r="AS63" i="1"/>
  <c r="AS11" i="1"/>
  <c r="AS50" i="1"/>
  <c r="AS70" i="1"/>
  <c r="AS5" i="1"/>
  <c r="AS71" i="1"/>
  <c r="AS6" i="1"/>
  <c r="AS46" i="1"/>
  <c r="AS24" i="1"/>
  <c r="AS41" i="1"/>
  <c r="AS87" i="1"/>
  <c r="AS27" i="1"/>
  <c r="AS28" i="1"/>
  <c r="AS65" i="1"/>
  <c r="AS57" i="1"/>
  <c r="AS53" i="1"/>
  <c r="AS31" i="1"/>
  <c r="AS60" i="1"/>
  <c r="AS64" i="1"/>
  <c r="AS29" i="1"/>
  <c r="AS21" i="1"/>
  <c r="AS66" i="1"/>
  <c r="AS45" i="1"/>
  <c r="AS58" i="1"/>
  <c r="AS80" i="1"/>
  <c r="AS86" i="1"/>
  <c r="AS32" i="1"/>
  <c r="AS15" i="1"/>
  <c r="AS56" i="1"/>
  <c r="AS74" i="1"/>
  <c r="AS43" i="1"/>
  <c r="AS93" i="1"/>
  <c r="AS95" i="1"/>
  <c r="AS10" i="1"/>
  <c r="AS14" i="1"/>
  <c r="AS13" i="1"/>
  <c r="AS35" i="1"/>
  <c r="AS88" i="1"/>
  <c r="AS34" i="1"/>
  <c r="AS92" i="1"/>
  <c r="AS89" i="1"/>
  <c r="AS44" i="1"/>
  <c r="AS40" i="1"/>
  <c r="AS91" i="1"/>
  <c r="AS69" i="1"/>
  <c r="AS18" i="1"/>
  <c r="AS25" i="1"/>
  <c r="AS9" i="1"/>
  <c r="AS83" i="1"/>
  <c r="AS82" i="1"/>
  <c r="AS26" i="1"/>
  <c r="AS23" i="1"/>
  <c r="AS20" i="1"/>
  <c r="AS51" i="1"/>
  <c r="AS16" i="1"/>
  <c r="AS48" i="1"/>
  <c r="AS85" i="1"/>
  <c r="AS97" i="1"/>
  <c r="AS72" i="1"/>
  <c r="AS30" i="1"/>
  <c r="AS39" i="1"/>
  <c r="AS75" i="1"/>
  <c r="AS52" i="1"/>
  <c r="AM98" i="1"/>
  <c r="AZ4" i="1"/>
  <c r="AO24" i="1"/>
  <c r="AN44" i="1"/>
  <c r="AO44" i="1" s="1"/>
  <c r="AO14" i="1"/>
  <c r="AO20" i="1"/>
  <c r="AO17" i="1"/>
  <c r="AO40" i="1"/>
  <c r="AN82" i="1"/>
  <c r="AO82" i="1" s="1"/>
  <c r="AN84" i="1"/>
  <c r="AO84" i="1" s="1"/>
  <c r="AO83" i="1"/>
  <c r="AO69" i="1"/>
  <c r="AO31" i="1"/>
  <c r="AO39" i="1"/>
  <c r="AO89" i="1"/>
  <c r="AO47" i="1"/>
  <c r="AO60" i="1"/>
  <c r="AO48" i="1"/>
  <c r="AO92" i="1"/>
  <c r="AO8" i="1"/>
  <c r="AO22" i="1"/>
  <c r="AO95" i="1"/>
  <c r="AO10" i="1"/>
  <c r="AN32" i="1"/>
  <c r="AO32" i="1" s="1"/>
  <c r="AO13" i="1"/>
  <c r="AO29" i="1"/>
  <c r="AO90" i="1"/>
  <c r="AO56" i="1"/>
  <c r="AO7" i="1"/>
  <c r="AO63" i="1"/>
  <c r="AO65" i="1"/>
  <c r="AO96" i="1"/>
  <c r="AO11" i="1"/>
  <c r="AO78" i="1"/>
  <c r="AO28" i="1"/>
  <c r="AO58" i="1"/>
  <c r="AN5" i="1"/>
  <c r="AO5" i="1" s="1"/>
  <c r="AO46" i="1"/>
  <c r="AN2" i="1"/>
  <c r="AO2" i="1" s="1"/>
  <c r="AO66" i="1"/>
  <c r="AO27" i="1"/>
  <c r="AO38" i="1"/>
  <c r="AO86" i="1"/>
  <c r="AN72" i="1"/>
  <c r="AO72" i="1" s="1"/>
  <c r="AN53" i="1"/>
  <c r="AO53" i="1" s="1"/>
  <c r="AN70" i="1"/>
  <c r="AO70" i="1" s="1"/>
  <c r="AO91" i="1"/>
  <c r="AO68" i="1"/>
  <c r="AN94" i="1"/>
  <c r="AO94" i="1" s="1"/>
  <c r="AN81" i="1"/>
  <c r="AO81" i="1" s="1"/>
  <c r="AO33" i="1"/>
  <c r="AO34" i="1"/>
  <c r="AO45" i="1"/>
  <c r="AO54" i="1"/>
  <c r="AO6" i="1"/>
  <c r="AO26" i="1"/>
  <c r="AO57" i="1"/>
  <c r="AO21" i="1"/>
  <c r="AO9" i="1"/>
  <c r="AO43" i="1"/>
  <c r="AO50" i="1"/>
  <c r="AP80" i="1"/>
  <c r="AQ80" i="1" s="1"/>
  <c r="AP74" i="1"/>
  <c r="AQ74" i="1" s="1"/>
  <c r="W98" i="1"/>
  <c r="AP42" i="1"/>
  <c r="AQ42" i="1" s="1"/>
  <c r="AU74" i="1" l="1"/>
  <c r="AT74" i="1"/>
  <c r="AU80" i="1"/>
  <c r="AT80" i="1"/>
  <c r="AU42" i="1"/>
  <c r="AT42" i="1"/>
  <c r="AJ80" i="1"/>
  <c r="AL80" i="1" s="1"/>
  <c r="AJ42" i="1"/>
  <c r="AL42" i="1" s="1"/>
  <c r="AJ74" i="1"/>
  <c r="AL74" i="1" s="1"/>
  <c r="AP66" i="1"/>
  <c r="AQ66" i="1" s="1"/>
  <c r="AO30" i="1"/>
  <c r="AO87" i="1"/>
  <c r="AO16" i="1"/>
  <c r="AO19" i="1"/>
  <c r="AO73" i="1"/>
  <c r="AO25" i="1"/>
  <c r="AO76" i="1"/>
  <c r="AO12" i="1"/>
  <c r="AO59" i="1"/>
  <c r="AO35" i="1"/>
  <c r="AO41" i="1"/>
  <c r="AO49" i="1"/>
  <c r="AO97" i="1"/>
  <c r="AO3" i="1"/>
  <c r="AO64" i="1"/>
  <c r="AO37" i="1"/>
  <c r="AO85" i="1"/>
  <c r="AO51" i="1"/>
  <c r="AO23" i="1"/>
  <c r="AO15" i="1"/>
  <c r="AO61" i="1"/>
  <c r="AO18" i="1"/>
  <c r="AO67" i="1"/>
  <c r="AO79" i="1"/>
  <c r="AO36" i="1"/>
  <c r="AO55" i="1"/>
  <c r="AO88" i="1"/>
  <c r="AD74" i="1"/>
  <c r="AF74" i="1" s="1"/>
  <c r="AG74" i="1"/>
  <c r="AI74" i="1" s="1"/>
  <c r="AD80" i="1"/>
  <c r="AF80" i="1" s="1"/>
  <c r="AG80" i="1"/>
  <c r="AI80" i="1" s="1"/>
  <c r="AD42" i="1"/>
  <c r="AF42" i="1" s="1"/>
  <c r="AG42" i="1"/>
  <c r="AI42" i="1" s="1"/>
  <c r="AN98" i="1"/>
  <c r="AP49" i="1"/>
  <c r="AQ49" i="1" s="1"/>
  <c r="AP20" i="1"/>
  <c r="AQ20" i="1" s="1"/>
  <c r="AP22" i="1"/>
  <c r="AQ22" i="1" s="1"/>
  <c r="AP5" i="1"/>
  <c r="AQ5" i="1" s="1"/>
  <c r="AP70" i="1"/>
  <c r="AQ70" i="1" s="1"/>
  <c r="AP15" i="1"/>
  <c r="AQ15" i="1" s="1"/>
  <c r="AP92" i="1"/>
  <c r="AQ92" i="1" s="1"/>
  <c r="AP28" i="1"/>
  <c r="AQ28" i="1" s="1"/>
  <c r="AP77" i="1"/>
  <c r="AQ77" i="1" s="1"/>
  <c r="AP73" i="1"/>
  <c r="AQ73" i="1" s="1"/>
  <c r="AP39" i="1"/>
  <c r="AQ39" i="1" s="1"/>
  <c r="AP34" i="1"/>
  <c r="AQ34" i="1" s="1"/>
  <c r="AP79" i="1"/>
  <c r="AQ79" i="1" s="1"/>
  <c r="AP61" i="1"/>
  <c r="AQ61" i="1" s="1"/>
  <c r="AP56" i="1"/>
  <c r="AQ56" i="1" s="1"/>
  <c r="AP48" i="1"/>
  <c r="AQ48" i="1" s="1"/>
  <c r="AP90" i="1"/>
  <c r="AQ90" i="1" s="1"/>
  <c r="AP72" i="1"/>
  <c r="AQ72" i="1" s="1"/>
  <c r="AP50" i="1"/>
  <c r="AQ50" i="1" s="1"/>
  <c r="AP27" i="1"/>
  <c r="AQ27" i="1" s="1"/>
  <c r="AP40" i="1"/>
  <c r="AQ40" i="1" s="1"/>
  <c r="AP91" i="1"/>
  <c r="AQ91" i="1" s="1"/>
  <c r="AP16" i="1"/>
  <c r="AQ16" i="1" s="1"/>
  <c r="AP57" i="1"/>
  <c r="AQ57" i="1" s="1"/>
  <c r="AP37" i="1"/>
  <c r="AQ37" i="1" s="1"/>
  <c r="AP26" i="1"/>
  <c r="AQ26" i="1" s="1"/>
  <c r="AP11" i="1"/>
  <c r="AQ11" i="1" s="1"/>
  <c r="AP13" i="1"/>
  <c r="AQ13" i="1" s="1"/>
  <c r="AP31" i="1"/>
  <c r="AQ31" i="1" s="1"/>
  <c r="AP3" i="1"/>
  <c r="AQ3" i="1" s="1"/>
  <c r="AP14" i="1"/>
  <c r="AQ14" i="1" s="1"/>
  <c r="AP89" i="1"/>
  <c r="AQ89" i="1" s="1"/>
  <c r="AP63" i="1"/>
  <c r="AQ63" i="1" s="1"/>
  <c r="AP96" i="1"/>
  <c r="AQ96" i="1" s="1"/>
  <c r="AP78" i="1"/>
  <c r="AQ78" i="1" s="1"/>
  <c r="AP97" i="1"/>
  <c r="AQ97" i="1" s="1"/>
  <c r="AP53" i="1"/>
  <c r="AQ53" i="1" s="1"/>
  <c r="AP38" i="1"/>
  <c r="AQ38" i="1" s="1"/>
  <c r="AP55" i="1"/>
  <c r="AQ55" i="1" s="1"/>
  <c r="AP76" i="1"/>
  <c r="AQ76" i="1" s="1"/>
  <c r="AP12" i="1"/>
  <c r="AQ12" i="1" s="1"/>
  <c r="AP36" i="1"/>
  <c r="AQ36" i="1" s="1"/>
  <c r="AP71" i="1"/>
  <c r="AQ71" i="1" s="1"/>
  <c r="AP30" i="1"/>
  <c r="AQ30" i="1" s="1"/>
  <c r="AP68" i="1"/>
  <c r="AQ68" i="1" s="1"/>
  <c r="AP54" i="1"/>
  <c r="AQ54" i="1" s="1"/>
  <c r="AP52" i="1"/>
  <c r="AQ52" i="1" s="1"/>
  <c r="AP75" i="1"/>
  <c r="AQ75" i="1" s="1"/>
  <c r="AP93" i="1"/>
  <c r="AQ93" i="1" s="1"/>
  <c r="AP43" i="1"/>
  <c r="AQ43" i="1" s="1"/>
  <c r="AP60" i="1"/>
  <c r="AQ60" i="1" s="1"/>
  <c r="AP24" i="1"/>
  <c r="AQ24" i="1" s="1"/>
  <c r="AP18" i="1"/>
  <c r="AQ18" i="1" s="1"/>
  <c r="AP86" i="1"/>
  <c r="AQ86" i="1" s="1"/>
  <c r="AP35" i="1"/>
  <c r="AQ35" i="1" s="1"/>
  <c r="AP8" i="1"/>
  <c r="AQ8" i="1" s="1"/>
  <c r="AP33" i="1"/>
  <c r="AQ33" i="1" s="1"/>
  <c r="AP64" i="1"/>
  <c r="AQ64" i="1" s="1"/>
  <c r="AP88" i="1"/>
  <c r="AQ88" i="1" s="1"/>
  <c r="AP25" i="1"/>
  <c r="AQ25" i="1" s="1"/>
  <c r="AP82" i="1"/>
  <c r="AQ82" i="1" s="1"/>
  <c r="AP47" i="1"/>
  <c r="AQ47" i="1" s="1"/>
  <c r="AP21" i="1"/>
  <c r="AQ21" i="1" s="1"/>
  <c r="AP29" i="1"/>
  <c r="AQ29" i="1" s="1"/>
  <c r="AP41" i="1"/>
  <c r="AQ41" i="1" s="1"/>
  <c r="AP46" i="1"/>
  <c r="AQ46" i="1" s="1"/>
  <c r="AP2" i="1"/>
  <c r="AQ2" i="1" s="1"/>
  <c r="AP81" i="1"/>
  <c r="AQ81" i="1" s="1"/>
  <c r="AP69" i="1"/>
  <c r="AQ69" i="1" s="1"/>
  <c r="AP9" i="1"/>
  <c r="AP23" i="1"/>
  <c r="AQ23" i="1" s="1"/>
  <c r="AP32" i="1"/>
  <c r="AQ32" i="1" s="1"/>
  <c r="AP62" i="1"/>
  <c r="AP94" i="1"/>
  <c r="AD94" i="1" s="1"/>
  <c r="AP65" i="1"/>
  <c r="AQ65" i="1" s="1"/>
  <c r="AP95" i="1"/>
  <c r="AQ95" i="1" s="1"/>
  <c r="AP45" i="1"/>
  <c r="AQ45" i="1" s="1"/>
  <c r="AP67" i="1"/>
  <c r="AQ67" i="1" s="1"/>
  <c r="AP85" i="1"/>
  <c r="AQ85" i="1" s="1"/>
  <c r="AP44" i="1"/>
  <c r="AQ44" i="1" s="1"/>
  <c r="AP7" i="1"/>
  <c r="AQ7" i="1" s="1"/>
  <c r="AP83" i="1"/>
  <c r="AQ83" i="1" s="1"/>
  <c r="AP19" i="1"/>
  <c r="AQ19" i="1" s="1"/>
  <c r="AP6" i="1"/>
  <c r="AQ6" i="1" s="1"/>
  <c r="AP17" i="1"/>
  <c r="AQ17" i="1" s="1"/>
  <c r="AP51" i="1"/>
  <c r="AQ51" i="1" s="1"/>
  <c r="AP87" i="1"/>
  <c r="AQ87" i="1" s="1"/>
  <c r="AP84" i="1"/>
  <c r="AQ84" i="1" s="1"/>
  <c r="AP10" i="1"/>
  <c r="AQ10" i="1" s="1"/>
  <c r="AP58" i="1"/>
  <c r="AQ58" i="1" s="1"/>
  <c r="AP59" i="1"/>
  <c r="AQ59" i="1" s="1"/>
  <c r="AQ94" i="1" l="1"/>
  <c r="AU94" i="1" s="1"/>
  <c r="AU30" i="1"/>
  <c r="AT30" i="1"/>
  <c r="AU19" i="1"/>
  <c r="AT19" i="1"/>
  <c r="AU65" i="1"/>
  <c r="AT65" i="1"/>
  <c r="AU2" i="1"/>
  <c r="AT2" i="1"/>
  <c r="AU88" i="1"/>
  <c r="AT88" i="1"/>
  <c r="AU60" i="1"/>
  <c r="AT60" i="1"/>
  <c r="AU71" i="1"/>
  <c r="AT71" i="1"/>
  <c r="AU78" i="1"/>
  <c r="AT78" i="1"/>
  <c r="AU11" i="1"/>
  <c r="AT11" i="1"/>
  <c r="AU50" i="1"/>
  <c r="AT50" i="1"/>
  <c r="AU39" i="1"/>
  <c r="AT39" i="1"/>
  <c r="AU22" i="1"/>
  <c r="AT22" i="1"/>
  <c r="AU95" i="1"/>
  <c r="AT95" i="1"/>
  <c r="AU13" i="1"/>
  <c r="AT13" i="1"/>
  <c r="AU5" i="1"/>
  <c r="AT5" i="1"/>
  <c r="AU58" i="1"/>
  <c r="AT58" i="1"/>
  <c r="AU46" i="1"/>
  <c r="AT46" i="1"/>
  <c r="AU64" i="1"/>
  <c r="AT64" i="1"/>
  <c r="AU43" i="1"/>
  <c r="AT43" i="1"/>
  <c r="AU36" i="1"/>
  <c r="AT36" i="1"/>
  <c r="AU96" i="1"/>
  <c r="AT96" i="1"/>
  <c r="AU26" i="1"/>
  <c r="AT26" i="1"/>
  <c r="AU72" i="1"/>
  <c r="AT72" i="1"/>
  <c r="AU73" i="1"/>
  <c r="AT73" i="1"/>
  <c r="AU20" i="1"/>
  <c r="AT20" i="1"/>
  <c r="AU6" i="1"/>
  <c r="AT6" i="1"/>
  <c r="AU10" i="1"/>
  <c r="AT10" i="1"/>
  <c r="AU7" i="1"/>
  <c r="AT7" i="1"/>
  <c r="AU41" i="1"/>
  <c r="AT41" i="1"/>
  <c r="AU33" i="1"/>
  <c r="AT33" i="1"/>
  <c r="AU93" i="1"/>
  <c r="AT93" i="1"/>
  <c r="AU12" i="1"/>
  <c r="AT12" i="1"/>
  <c r="AU63" i="1"/>
  <c r="AT63" i="1"/>
  <c r="AU37" i="1"/>
  <c r="AT37" i="1"/>
  <c r="AU90" i="1"/>
  <c r="AT90" i="1"/>
  <c r="AU77" i="1"/>
  <c r="AT77" i="1"/>
  <c r="AU49" i="1"/>
  <c r="AT49" i="1"/>
  <c r="AU97" i="1"/>
  <c r="AT97" i="1"/>
  <c r="AU44" i="1"/>
  <c r="AT44" i="1"/>
  <c r="AU32" i="1"/>
  <c r="AT32" i="1"/>
  <c r="AU29" i="1"/>
  <c r="AT29" i="1"/>
  <c r="AU8" i="1"/>
  <c r="AT8" i="1"/>
  <c r="AU75" i="1"/>
  <c r="AT75" i="1"/>
  <c r="AU76" i="1"/>
  <c r="AT76" i="1"/>
  <c r="AU89" i="1"/>
  <c r="AT89" i="1"/>
  <c r="AU57" i="1"/>
  <c r="AT57" i="1"/>
  <c r="AU48" i="1"/>
  <c r="AT48" i="1"/>
  <c r="AU28" i="1"/>
  <c r="AT28" i="1"/>
  <c r="AU81" i="1"/>
  <c r="AT81" i="1"/>
  <c r="AU34" i="1"/>
  <c r="AT34" i="1"/>
  <c r="AU59" i="1"/>
  <c r="AT59" i="1"/>
  <c r="AU87" i="1"/>
  <c r="AT87" i="1"/>
  <c r="AU21" i="1"/>
  <c r="AT21" i="1"/>
  <c r="AU52" i="1"/>
  <c r="AT52" i="1"/>
  <c r="AU55" i="1"/>
  <c r="AT55" i="1"/>
  <c r="AU14" i="1"/>
  <c r="AT14" i="1"/>
  <c r="AU16" i="1"/>
  <c r="AT16" i="1"/>
  <c r="AU56" i="1"/>
  <c r="AT56" i="1"/>
  <c r="AU92" i="1"/>
  <c r="AT92" i="1"/>
  <c r="AU25" i="1"/>
  <c r="AT25" i="1"/>
  <c r="AU27" i="1"/>
  <c r="AT27" i="1"/>
  <c r="AU83" i="1"/>
  <c r="AT83" i="1"/>
  <c r="AU23" i="1"/>
  <c r="AT23" i="1"/>
  <c r="AU35" i="1"/>
  <c r="AT35" i="1"/>
  <c r="AU51" i="1"/>
  <c r="AT51" i="1"/>
  <c r="AU67" i="1"/>
  <c r="AT67" i="1"/>
  <c r="AU47" i="1"/>
  <c r="AT47" i="1"/>
  <c r="AU86" i="1"/>
  <c r="AT86" i="1"/>
  <c r="AU54" i="1"/>
  <c r="AT54" i="1"/>
  <c r="AU38" i="1"/>
  <c r="AT38" i="1"/>
  <c r="AU3" i="1"/>
  <c r="AT3" i="1"/>
  <c r="AU91" i="1"/>
  <c r="AT91" i="1"/>
  <c r="AU61" i="1"/>
  <c r="AT61" i="1"/>
  <c r="AU15" i="1"/>
  <c r="AT15" i="1"/>
  <c r="AU66" i="1"/>
  <c r="AT66" i="1"/>
  <c r="AU24" i="1"/>
  <c r="AT24" i="1"/>
  <c r="AU84" i="1"/>
  <c r="AT84" i="1"/>
  <c r="AU85" i="1"/>
  <c r="AT85" i="1"/>
  <c r="AU17" i="1"/>
  <c r="AT17" i="1"/>
  <c r="AU45" i="1"/>
  <c r="AT45" i="1"/>
  <c r="AU69" i="1"/>
  <c r="AT69" i="1"/>
  <c r="AU82" i="1"/>
  <c r="AT82" i="1"/>
  <c r="AU18" i="1"/>
  <c r="AT18" i="1"/>
  <c r="AU68" i="1"/>
  <c r="AT68" i="1"/>
  <c r="AU53" i="1"/>
  <c r="AT53" i="1"/>
  <c r="AU31" i="1"/>
  <c r="AT31" i="1"/>
  <c r="AU40" i="1"/>
  <c r="AT40" i="1"/>
  <c r="AU79" i="1"/>
  <c r="AT79" i="1"/>
  <c r="AU70" i="1"/>
  <c r="AT70" i="1"/>
  <c r="AQ9" i="1"/>
  <c r="AQ62" i="1"/>
  <c r="AJ28" i="1"/>
  <c r="AL28" i="1" s="1"/>
  <c r="AJ85" i="1"/>
  <c r="AL85" i="1" s="1"/>
  <c r="AJ7" i="1"/>
  <c r="AL7" i="1" s="1"/>
  <c r="AJ8" i="1"/>
  <c r="AL8" i="1" s="1"/>
  <c r="AJ93" i="1"/>
  <c r="AL93" i="1" s="1"/>
  <c r="AJ30" i="1"/>
  <c r="AL30" i="1" s="1"/>
  <c r="AJ26" i="1"/>
  <c r="AL26" i="1" s="1"/>
  <c r="AJ48" i="1"/>
  <c r="AL48" i="1" s="1"/>
  <c r="AJ79" i="1"/>
  <c r="AL79" i="1" s="1"/>
  <c r="AJ66" i="1"/>
  <c r="AL66" i="1" s="1"/>
  <c r="AJ10" i="1"/>
  <c r="AL10" i="1" s="1"/>
  <c r="AJ44" i="1"/>
  <c r="AK44" i="1" s="1"/>
  <c r="AL44" i="1" s="1"/>
  <c r="AJ23" i="1"/>
  <c r="AL23" i="1" s="1"/>
  <c r="AJ2" i="1"/>
  <c r="AK2" i="1" s="1"/>
  <c r="AJ75" i="1"/>
  <c r="AL75" i="1" s="1"/>
  <c r="AJ40" i="1"/>
  <c r="AL40" i="1" s="1"/>
  <c r="AJ14" i="1"/>
  <c r="AL14" i="1" s="1"/>
  <c r="AJ19" i="1"/>
  <c r="AL19" i="1" s="1"/>
  <c r="AJ72" i="1"/>
  <c r="AK72" i="1" s="1"/>
  <c r="AL72" i="1" s="1"/>
  <c r="AJ13" i="1"/>
  <c r="AL13" i="1" s="1"/>
  <c r="AJ15" i="1"/>
  <c r="AL15" i="1" s="1"/>
  <c r="AJ25" i="1"/>
  <c r="AL25" i="1" s="1"/>
  <c r="AJ81" i="1"/>
  <c r="AK81" i="1" s="1"/>
  <c r="AL81" i="1" s="1"/>
  <c r="AJ84" i="1"/>
  <c r="AK84" i="1" s="1"/>
  <c r="AL84" i="1" s="1"/>
  <c r="AJ41" i="1"/>
  <c r="AL41" i="1" s="1"/>
  <c r="AJ33" i="1"/>
  <c r="AL33" i="1" s="1"/>
  <c r="AJ11" i="1"/>
  <c r="AL11" i="1" s="1"/>
  <c r="AJ39" i="1"/>
  <c r="AL39" i="1" s="1"/>
  <c r="AJ77" i="1"/>
  <c r="AL77" i="1" s="1"/>
  <c r="AJ97" i="1"/>
  <c r="AL97" i="1" s="1"/>
  <c r="AJ29" i="1"/>
  <c r="AL29" i="1" s="1"/>
  <c r="AJ18" i="1"/>
  <c r="AL18" i="1" s="1"/>
  <c r="AJ89" i="1"/>
  <c r="AL89" i="1" s="1"/>
  <c r="AD66" i="1"/>
  <c r="AF66" i="1" s="1"/>
  <c r="AG66" i="1"/>
  <c r="AI66" i="1" s="1"/>
  <c r="AO4" i="1"/>
  <c r="AG32" i="1"/>
  <c r="AJ32" i="1"/>
  <c r="AG45" i="1"/>
  <c r="AI45" i="1" s="1"/>
  <c r="AJ45" i="1"/>
  <c r="AL45" i="1" s="1"/>
  <c r="AG76" i="1"/>
  <c r="AI76" i="1" s="1"/>
  <c r="AJ76" i="1"/>
  <c r="AL76" i="1" s="1"/>
  <c r="AG16" i="1"/>
  <c r="AI16" i="1" s="1"/>
  <c r="AJ16" i="1"/>
  <c r="AL16" i="1" s="1"/>
  <c r="AG20" i="1"/>
  <c r="AI20" i="1" s="1"/>
  <c r="AJ20" i="1"/>
  <c r="AL20" i="1" s="1"/>
  <c r="AG94" i="1"/>
  <c r="AJ94" i="1"/>
  <c r="AG9" i="1"/>
  <c r="AI9" i="1" s="1"/>
  <c r="AJ9" i="1"/>
  <c r="AL9" i="1" s="1"/>
  <c r="AG46" i="1"/>
  <c r="AI46" i="1" s="1"/>
  <c r="AJ46" i="1"/>
  <c r="AL46" i="1" s="1"/>
  <c r="AG35" i="1"/>
  <c r="AI35" i="1" s="1"/>
  <c r="AJ35" i="1"/>
  <c r="AL35" i="1" s="1"/>
  <c r="AG24" i="1"/>
  <c r="AI24" i="1" s="1"/>
  <c r="AJ24" i="1"/>
  <c r="AL24" i="1" s="1"/>
  <c r="AG71" i="1"/>
  <c r="AI71" i="1" s="1"/>
  <c r="AJ71" i="1"/>
  <c r="AL71" i="1" s="1"/>
  <c r="AG96" i="1"/>
  <c r="AI96" i="1" s="1"/>
  <c r="AJ96" i="1"/>
  <c r="AL96" i="1" s="1"/>
  <c r="AG34" i="1"/>
  <c r="AI34" i="1" s="1"/>
  <c r="AJ34" i="1"/>
  <c r="AL34" i="1" s="1"/>
  <c r="AG92" i="1"/>
  <c r="AI92" i="1" s="1"/>
  <c r="AJ92" i="1"/>
  <c r="AL92" i="1" s="1"/>
  <c r="AG17" i="1"/>
  <c r="AI17" i="1" s="1"/>
  <c r="AJ17" i="1"/>
  <c r="AL17" i="1" s="1"/>
  <c r="AG68" i="1"/>
  <c r="AI68" i="1" s="1"/>
  <c r="AJ68" i="1"/>
  <c r="AL68" i="1" s="1"/>
  <c r="AG6" i="1"/>
  <c r="AI6" i="1" s="1"/>
  <c r="AJ6" i="1"/>
  <c r="AL6" i="1" s="1"/>
  <c r="AG78" i="1"/>
  <c r="AI78" i="1" s="1"/>
  <c r="AJ78" i="1"/>
  <c r="AL78" i="1" s="1"/>
  <c r="AG95" i="1"/>
  <c r="AI95" i="1" s="1"/>
  <c r="AJ95" i="1"/>
  <c r="AL95" i="1" s="1"/>
  <c r="AG82" i="1"/>
  <c r="AJ82" i="1"/>
  <c r="AG86" i="1"/>
  <c r="AI86" i="1" s="1"/>
  <c r="AJ86" i="1"/>
  <c r="AL86" i="1" s="1"/>
  <c r="AG63" i="1"/>
  <c r="AI63" i="1" s="1"/>
  <c r="AJ63" i="1"/>
  <c r="AL63" i="1" s="1"/>
  <c r="AG31" i="1"/>
  <c r="AI31" i="1" s="1"/>
  <c r="AJ31" i="1"/>
  <c r="AL31" i="1" s="1"/>
  <c r="AG49" i="1"/>
  <c r="AI49" i="1" s="1"/>
  <c r="AJ49" i="1"/>
  <c r="AL49" i="1" s="1"/>
  <c r="AG55" i="1"/>
  <c r="AI55" i="1" s="1"/>
  <c r="AJ55" i="1"/>
  <c r="AL55" i="1" s="1"/>
  <c r="AG91" i="1"/>
  <c r="AI91" i="1" s="1"/>
  <c r="AJ91" i="1"/>
  <c r="AL91" i="1" s="1"/>
  <c r="AG65" i="1"/>
  <c r="AI65" i="1" s="1"/>
  <c r="AJ65" i="1"/>
  <c r="AL65" i="1" s="1"/>
  <c r="AG69" i="1"/>
  <c r="AI69" i="1" s="1"/>
  <c r="AJ69" i="1"/>
  <c r="AL69" i="1" s="1"/>
  <c r="AG64" i="1"/>
  <c r="AI64" i="1" s="1"/>
  <c r="AJ64" i="1"/>
  <c r="AL64" i="1" s="1"/>
  <c r="AG60" i="1"/>
  <c r="AI60" i="1" s="1"/>
  <c r="AJ60" i="1"/>
  <c r="AL60" i="1" s="1"/>
  <c r="AG36" i="1"/>
  <c r="AI36" i="1" s="1"/>
  <c r="AJ36" i="1"/>
  <c r="AL36" i="1" s="1"/>
  <c r="AG38" i="1"/>
  <c r="AI38" i="1" s="1"/>
  <c r="AJ38" i="1"/>
  <c r="AL38" i="1" s="1"/>
  <c r="AG56" i="1"/>
  <c r="AI56" i="1" s="1"/>
  <c r="AJ56" i="1"/>
  <c r="AL56" i="1" s="1"/>
  <c r="AG58" i="1"/>
  <c r="AI58" i="1" s="1"/>
  <c r="AJ58" i="1"/>
  <c r="AL58" i="1" s="1"/>
  <c r="AG3" i="1"/>
  <c r="AI3" i="1" s="1"/>
  <c r="AJ3" i="1"/>
  <c r="AL3" i="1" s="1"/>
  <c r="AG87" i="1"/>
  <c r="AI87" i="1" s="1"/>
  <c r="AJ87" i="1"/>
  <c r="AL87" i="1" s="1"/>
  <c r="AG52" i="1"/>
  <c r="AI52" i="1" s="1"/>
  <c r="AJ52" i="1"/>
  <c r="AL52" i="1" s="1"/>
  <c r="AG12" i="1"/>
  <c r="AI12" i="1" s="1"/>
  <c r="AJ12" i="1"/>
  <c r="AL12" i="1" s="1"/>
  <c r="AG27" i="1"/>
  <c r="AI27" i="1" s="1"/>
  <c r="AJ27" i="1"/>
  <c r="AL27" i="1" s="1"/>
  <c r="AG70" i="1"/>
  <c r="AJ70" i="1"/>
  <c r="AG67" i="1"/>
  <c r="AI67" i="1" s="1"/>
  <c r="AJ67" i="1"/>
  <c r="AL67" i="1" s="1"/>
  <c r="AG47" i="1"/>
  <c r="AI47" i="1" s="1"/>
  <c r="AJ47" i="1"/>
  <c r="AL47" i="1" s="1"/>
  <c r="AG21" i="1"/>
  <c r="AI21" i="1" s="1"/>
  <c r="AJ21" i="1"/>
  <c r="AL21" i="1" s="1"/>
  <c r="AG54" i="1"/>
  <c r="AI54" i="1" s="1"/>
  <c r="AJ54" i="1"/>
  <c r="AL54" i="1" s="1"/>
  <c r="AG53" i="1"/>
  <c r="AJ53" i="1"/>
  <c r="AG37" i="1"/>
  <c r="AI37" i="1" s="1"/>
  <c r="AJ37" i="1"/>
  <c r="AL37" i="1" s="1"/>
  <c r="AG50" i="1"/>
  <c r="AI50" i="1" s="1"/>
  <c r="AJ50" i="1"/>
  <c r="AL50" i="1" s="1"/>
  <c r="AG73" i="1"/>
  <c r="AI73" i="1" s="1"/>
  <c r="AJ73" i="1"/>
  <c r="AL73" i="1" s="1"/>
  <c r="AG5" i="1"/>
  <c r="AJ5" i="1"/>
  <c r="AG88" i="1"/>
  <c r="AI88" i="1" s="1"/>
  <c r="AJ88" i="1"/>
  <c r="AL88" i="1" s="1"/>
  <c r="AG90" i="1"/>
  <c r="AI90" i="1" s="1"/>
  <c r="AJ90" i="1"/>
  <c r="AL90" i="1" s="1"/>
  <c r="AG51" i="1"/>
  <c r="AI51" i="1" s="1"/>
  <c r="AJ51" i="1"/>
  <c r="AL51" i="1" s="1"/>
  <c r="AG59" i="1"/>
  <c r="AI59" i="1" s="1"/>
  <c r="AJ59" i="1"/>
  <c r="AL59" i="1" s="1"/>
  <c r="AG83" i="1"/>
  <c r="AI83" i="1" s="1"/>
  <c r="AJ83" i="1"/>
  <c r="AL83" i="1" s="1"/>
  <c r="AG62" i="1"/>
  <c r="AI62" i="1" s="1"/>
  <c r="AJ62" i="1"/>
  <c r="AL62" i="1" s="1"/>
  <c r="AG43" i="1"/>
  <c r="AI43" i="1" s="1"/>
  <c r="AJ43" i="1"/>
  <c r="AL43" i="1" s="1"/>
  <c r="AG57" i="1"/>
  <c r="AI57" i="1" s="1"/>
  <c r="AJ57" i="1"/>
  <c r="AL57" i="1" s="1"/>
  <c r="AG61" i="1"/>
  <c r="AI61" i="1" s="1"/>
  <c r="AJ61" i="1"/>
  <c r="AL61" i="1" s="1"/>
  <c r="AG22" i="1"/>
  <c r="AI22" i="1" s="1"/>
  <c r="AJ22" i="1"/>
  <c r="AL22" i="1" s="1"/>
  <c r="AD84" i="1"/>
  <c r="AE84" i="1" s="1"/>
  <c r="AG84" i="1"/>
  <c r="AD8" i="1"/>
  <c r="AF8" i="1" s="1"/>
  <c r="AG8" i="1"/>
  <c r="AI8" i="1" s="1"/>
  <c r="AD48" i="1"/>
  <c r="AF48" i="1" s="1"/>
  <c r="AG48" i="1"/>
  <c r="AI48" i="1" s="1"/>
  <c r="AD29" i="1"/>
  <c r="AF29" i="1" s="1"/>
  <c r="AG29" i="1"/>
  <c r="AI29" i="1" s="1"/>
  <c r="AD75" i="1"/>
  <c r="AF75" i="1" s="1"/>
  <c r="AG75" i="1"/>
  <c r="AI75" i="1" s="1"/>
  <c r="AD40" i="1"/>
  <c r="AF40" i="1" s="1"/>
  <c r="AG40" i="1"/>
  <c r="AI40" i="1" s="1"/>
  <c r="AD14" i="1"/>
  <c r="AF14" i="1" s="1"/>
  <c r="AG14" i="1"/>
  <c r="AI14" i="1" s="1"/>
  <c r="AD79" i="1"/>
  <c r="AF79" i="1" s="1"/>
  <c r="AG79" i="1"/>
  <c r="AI79" i="1" s="1"/>
  <c r="AD85" i="1"/>
  <c r="AF85" i="1" s="1"/>
  <c r="AG85" i="1"/>
  <c r="AI85" i="1" s="1"/>
  <c r="AD81" i="1"/>
  <c r="AE81" i="1" s="1"/>
  <c r="AF81" i="1" s="1"/>
  <c r="AG81" i="1"/>
  <c r="AD13" i="1"/>
  <c r="AF13" i="1" s="1"/>
  <c r="AG13" i="1"/>
  <c r="AI13" i="1" s="1"/>
  <c r="AD15" i="1"/>
  <c r="AF15" i="1" s="1"/>
  <c r="AG15" i="1"/>
  <c r="AI15" i="1" s="1"/>
  <c r="AD19" i="1"/>
  <c r="AF19" i="1" s="1"/>
  <c r="AG19" i="1"/>
  <c r="AI19" i="1" s="1"/>
  <c r="AD25" i="1"/>
  <c r="AF25" i="1" s="1"/>
  <c r="AG25" i="1"/>
  <c r="AI25" i="1" s="1"/>
  <c r="AD72" i="1"/>
  <c r="AE72" i="1" s="1"/>
  <c r="AF72" i="1" s="1"/>
  <c r="AG72" i="1"/>
  <c r="AD28" i="1"/>
  <c r="AF28" i="1" s="1"/>
  <c r="AG28" i="1"/>
  <c r="AI28" i="1" s="1"/>
  <c r="AD97" i="1"/>
  <c r="AF97" i="1" s="1"/>
  <c r="AG97" i="1"/>
  <c r="AI97" i="1" s="1"/>
  <c r="AD41" i="1"/>
  <c r="AF41" i="1" s="1"/>
  <c r="AG41" i="1"/>
  <c r="AI41" i="1" s="1"/>
  <c r="AD30" i="1"/>
  <c r="AF30" i="1" s="1"/>
  <c r="AG30" i="1"/>
  <c r="AI30" i="1" s="1"/>
  <c r="AD7" i="1"/>
  <c r="AF7" i="1" s="1"/>
  <c r="AG7" i="1"/>
  <c r="AI7" i="1" s="1"/>
  <c r="AD33" i="1"/>
  <c r="AF33" i="1" s="1"/>
  <c r="AG33" i="1"/>
  <c r="AI33" i="1" s="1"/>
  <c r="AD11" i="1"/>
  <c r="AF11" i="1" s="1"/>
  <c r="AG11" i="1"/>
  <c r="AI11" i="1" s="1"/>
  <c r="AD39" i="1"/>
  <c r="AF39" i="1" s="1"/>
  <c r="AG39" i="1"/>
  <c r="AI39" i="1" s="1"/>
  <c r="AD77" i="1"/>
  <c r="AF77" i="1" s="1"/>
  <c r="AG77" i="1"/>
  <c r="AI77" i="1" s="1"/>
  <c r="AD93" i="1"/>
  <c r="AF93" i="1" s="1"/>
  <c r="AG93" i="1"/>
  <c r="AI93" i="1" s="1"/>
  <c r="AD26" i="1"/>
  <c r="AF26" i="1" s="1"/>
  <c r="AG26" i="1"/>
  <c r="AI26" i="1" s="1"/>
  <c r="AD10" i="1"/>
  <c r="AF10" i="1" s="1"/>
  <c r="AG10" i="1"/>
  <c r="AI10" i="1" s="1"/>
  <c r="AD44" i="1"/>
  <c r="AE44" i="1" s="1"/>
  <c r="AG44" i="1"/>
  <c r="AD23" i="1"/>
  <c r="AF23" i="1" s="1"/>
  <c r="AG23" i="1"/>
  <c r="AI23" i="1" s="1"/>
  <c r="AD2" i="1"/>
  <c r="AE2" i="1" s="1"/>
  <c r="AF2" i="1" s="1"/>
  <c r="AG2" i="1"/>
  <c r="AD18" i="1"/>
  <c r="AF18" i="1" s="1"/>
  <c r="AG18" i="1"/>
  <c r="AI18" i="1" s="1"/>
  <c r="AD89" i="1"/>
  <c r="AF89" i="1" s="1"/>
  <c r="AG89" i="1"/>
  <c r="AI89" i="1" s="1"/>
  <c r="AD55" i="1"/>
  <c r="AF55" i="1" s="1"/>
  <c r="AD45" i="1"/>
  <c r="AF45" i="1" s="1"/>
  <c r="AD32" i="1"/>
  <c r="AD35" i="1"/>
  <c r="AF35" i="1" s="1"/>
  <c r="AD24" i="1"/>
  <c r="AF24" i="1" s="1"/>
  <c r="AD71" i="1"/>
  <c r="AF71" i="1" s="1"/>
  <c r="AD96" i="1"/>
  <c r="AF96" i="1" s="1"/>
  <c r="AD34" i="1"/>
  <c r="AF34" i="1" s="1"/>
  <c r="AD92" i="1"/>
  <c r="AF92" i="1" s="1"/>
  <c r="AD47" i="1"/>
  <c r="AF47" i="1" s="1"/>
  <c r="AD86" i="1"/>
  <c r="AF86" i="1" s="1"/>
  <c r="AD63" i="1"/>
  <c r="AF63" i="1" s="1"/>
  <c r="AD31" i="1"/>
  <c r="AF31" i="1" s="1"/>
  <c r="AD49" i="1"/>
  <c r="AF49" i="1" s="1"/>
  <c r="AD17" i="1"/>
  <c r="AF17" i="1" s="1"/>
  <c r="AD6" i="1"/>
  <c r="AF6" i="1" s="1"/>
  <c r="AD95" i="1"/>
  <c r="AF95" i="1" s="1"/>
  <c r="AD9" i="1"/>
  <c r="AF9" i="1" s="1"/>
  <c r="AD46" i="1"/>
  <c r="AF46" i="1" s="1"/>
  <c r="AD64" i="1"/>
  <c r="AF64" i="1" s="1"/>
  <c r="AD60" i="1"/>
  <c r="AF60" i="1" s="1"/>
  <c r="AD36" i="1"/>
  <c r="AF36" i="1" s="1"/>
  <c r="AD38" i="1"/>
  <c r="AF38" i="1" s="1"/>
  <c r="AD56" i="1"/>
  <c r="AF56" i="1" s="1"/>
  <c r="AD58" i="1"/>
  <c r="AF58" i="1" s="1"/>
  <c r="AD67" i="1"/>
  <c r="AF67" i="1" s="1"/>
  <c r="AD62" i="1"/>
  <c r="AF62" i="1" s="1"/>
  <c r="AD82" i="1"/>
  <c r="AD52" i="1"/>
  <c r="AF52" i="1" s="1"/>
  <c r="AD12" i="1"/>
  <c r="AF12" i="1" s="1"/>
  <c r="AD27" i="1"/>
  <c r="AF27" i="1" s="1"/>
  <c r="AD70" i="1"/>
  <c r="AD91" i="1"/>
  <c r="AF91" i="1" s="1"/>
  <c r="AD69" i="1"/>
  <c r="AF69" i="1" s="1"/>
  <c r="AD54" i="1"/>
  <c r="AF54" i="1" s="1"/>
  <c r="AD53" i="1"/>
  <c r="AD37" i="1"/>
  <c r="AF37" i="1" s="1"/>
  <c r="AD50" i="1"/>
  <c r="AF50" i="1" s="1"/>
  <c r="AD73" i="1"/>
  <c r="AF73" i="1" s="1"/>
  <c r="AD5" i="1"/>
  <c r="AD3" i="1"/>
  <c r="AF3" i="1" s="1"/>
  <c r="AD87" i="1"/>
  <c r="AF87" i="1" s="1"/>
  <c r="AD51" i="1"/>
  <c r="AF51" i="1" s="1"/>
  <c r="AD43" i="1"/>
  <c r="AF43" i="1" s="1"/>
  <c r="AD57" i="1"/>
  <c r="AF57" i="1" s="1"/>
  <c r="AD61" i="1"/>
  <c r="AF61" i="1" s="1"/>
  <c r="AD22" i="1"/>
  <c r="AF22" i="1" s="1"/>
  <c r="AD78" i="1"/>
  <c r="AF78" i="1" s="1"/>
  <c r="AD65" i="1"/>
  <c r="AF65" i="1" s="1"/>
  <c r="AD59" i="1"/>
  <c r="AF59" i="1" s="1"/>
  <c r="AD83" i="1"/>
  <c r="AF83" i="1" s="1"/>
  <c r="AD21" i="1"/>
  <c r="AF21" i="1" s="1"/>
  <c r="AD88" i="1"/>
  <c r="AF88" i="1" s="1"/>
  <c r="AD68" i="1"/>
  <c r="AF68" i="1" s="1"/>
  <c r="AD76" i="1"/>
  <c r="AF76" i="1" s="1"/>
  <c r="AD16" i="1"/>
  <c r="AF16" i="1" s="1"/>
  <c r="AD90" i="1"/>
  <c r="AF90" i="1" s="1"/>
  <c r="AD20" i="1"/>
  <c r="AF20" i="1" s="1"/>
  <c r="AY98" i="1"/>
  <c r="AW98" i="1"/>
  <c r="AX98" i="1"/>
  <c r="AT94" i="1" l="1"/>
  <c r="AU9" i="1"/>
  <c r="AT9" i="1"/>
  <c r="AU62" i="1"/>
  <c r="AT62" i="1"/>
  <c r="AK94" i="1"/>
  <c r="AL94" i="1" s="1"/>
  <c r="AH94" i="1"/>
  <c r="AI94" i="1" s="1"/>
  <c r="AH72" i="1"/>
  <c r="AI72" i="1" s="1"/>
  <c r="AH2" i="1"/>
  <c r="AI2" i="1" s="1"/>
  <c r="AH81" i="1"/>
  <c r="AI81" i="1" s="1"/>
  <c r="AK5" i="1"/>
  <c r="AL5" i="1" s="1"/>
  <c r="AK53" i="1"/>
  <c r="AL53" i="1" s="1"/>
  <c r="AK32" i="1"/>
  <c r="AL32" i="1" s="1"/>
  <c r="AH5" i="1"/>
  <c r="AI5" i="1" s="1"/>
  <c r="AH53" i="1"/>
  <c r="AI53" i="1" s="1"/>
  <c r="AH32" i="1"/>
  <c r="AI32" i="1" s="1"/>
  <c r="AH84" i="1"/>
  <c r="AI84" i="1" s="1"/>
  <c r="AK70" i="1"/>
  <c r="AL70" i="1" s="1"/>
  <c r="AK82" i="1"/>
  <c r="AL82" i="1" s="1"/>
  <c r="AH44" i="1"/>
  <c r="AI44" i="1" s="1"/>
  <c r="AH70" i="1"/>
  <c r="AI70" i="1" s="1"/>
  <c r="AH82" i="1"/>
  <c r="AI82" i="1" s="1"/>
  <c r="AL2" i="1"/>
  <c r="AF84" i="1"/>
  <c r="AF44" i="1"/>
  <c r="AE94" i="1"/>
  <c r="AF94" i="1" s="1"/>
  <c r="AE32" i="1"/>
  <c r="AF32" i="1" s="1"/>
  <c r="AE5" i="1"/>
  <c r="AF5" i="1" s="1"/>
  <c r="AE53" i="1"/>
  <c r="AF53" i="1" s="1"/>
  <c r="AE70" i="1"/>
  <c r="AF70" i="1" s="1"/>
  <c r="AE82" i="1"/>
  <c r="AF82" i="1" s="1"/>
  <c r="AP4" i="1"/>
  <c r="AQ4" i="1" s="1"/>
  <c r="AZ98" i="1"/>
  <c r="F4" i="2"/>
  <c r="AU4" i="1" l="1"/>
  <c r="AU98" i="1" s="1"/>
  <c r="AT4" i="1"/>
  <c r="AT98" i="1" s="1"/>
  <c r="AJ4" i="1"/>
  <c r="AL4" i="1" s="1"/>
  <c r="AL98" i="1" s="1"/>
  <c r="AH98" i="1"/>
  <c r="AK98" i="1"/>
  <c r="AD4" i="1"/>
  <c r="AF4" i="1" s="1"/>
  <c r="AG4" i="1"/>
  <c r="AI4" i="1" s="1"/>
  <c r="AI98" i="1" s="1"/>
  <c r="AE98" i="1"/>
  <c r="AO98" i="1"/>
  <c r="B27" i="2" s="1"/>
  <c r="B28" i="2" s="1"/>
  <c r="AP98" i="1"/>
  <c r="F5" i="2" l="1"/>
  <c r="AJ98" i="1"/>
  <c r="AR74" i="1"/>
  <c r="AR77" i="1"/>
  <c r="AR80" i="1"/>
  <c r="AR42" i="1"/>
  <c r="AR71" i="1"/>
  <c r="AR61" i="1"/>
  <c r="AR91" i="1"/>
  <c r="AR48" i="1"/>
  <c r="AR67" i="1"/>
  <c r="AR31" i="1"/>
  <c r="AR36" i="1"/>
  <c r="AR25" i="1"/>
  <c r="AR89" i="1"/>
  <c r="AR21" i="1"/>
  <c r="AR69" i="1"/>
  <c r="AR85" i="1"/>
  <c r="AR59" i="1"/>
  <c r="AR22" i="1"/>
  <c r="AR23" i="1"/>
  <c r="AR45" i="1"/>
  <c r="AR88" i="1"/>
  <c r="AR75" i="1"/>
  <c r="AR12" i="1"/>
  <c r="AR62" i="1"/>
  <c r="AR51" i="1"/>
  <c r="AR37" i="1"/>
  <c r="AR49" i="1"/>
  <c r="AR19" i="1"/>
  <c r="AR56" i="1"/>
  <c r="AR11" i="1"/>
  <c r="AR24" i="1"/>
  <c r="AR15" i="1"/>
  <c r="AR96" i="1"/>
  <c r="AR78" i="1"/>
  <c r="AR40" i="1"/>
  <c r="AR14" i="1"/>
  <c r="AR95" i="1"/>
  <c r="AR10" i="1"/>
  <c r="AR73" i="1"/>
  <c r="AR8" i="1"/>
  <c r="AR6" i="1"/>
  <c r="AR26" i="1"/>
  <c r="AR54" i="1"/>
  <c r="AR18" i="1"/>
  <c r="AR68" i="1"/>
  <c r="AR16" i="1"/>
  <c r="AR3" i="1"/>
  <c r="AR66" i="1"/>
  <c r="AR63" i="1"/>
  <c r="AR87" i="1"/>
  <c r="AR52" i="1"/>
  <c r="AR34" i="1"/>
  <c r="AR57" i="1"/>
  <c r="AR7" i="1"/>
  <c r="AR20" i="1"/>
  <c r="AR90" i="1"/>
  <c r="AR41" i="1"/>
  <c r="AR92" i="1"/>
  <c r="AR83" i="1"/>
  <c r="AR97" i="1"/>
  <c r="AR30" i="1"/>
  <c r="AR65" i="1"/>
  <c r="AR13" i="1"/>
  <c r="AR55" i="1"/>
  <c r="AR47" i="1"/>
  <c r="AR39" i="1"/>
  <c r="AR38" i="1"/>
  <c r="AR60" i="1"/>
  <c r="AR64" i="1"/>
  <c r="AR17" i="1"/>
  <c r="AR27" i="1"/>
  <c r="AR28" i="1"/>
  <c r="AR9" i="1"/>
  <c r="AR33" i="1"/>
  <c r="AR35" i="1"/>
  <c r="AR79" i="1"/>
  <c r="AR46" i="1"/>
  <c r="AR29" i="1"/>
  <c r="AR76" i="1"/>
  <c r="AR58" i="1"/>
  <c r="AR93" i="1"/>
  <c r="AR86" i="1"/>
  <c r="AR94" i="1"/>
  <c r="AR50" i="1"/>
  <c r="AR82" i="1"/>
  <c r="AR32" i="1"/>
  <c r="AR2" i="1"/>
  <c r="AR53" i="1"/>
  <c r="AR5" i="1"/>
  <c r="AR44" i="1"/>
  <c r="AR72" i="1"/>
  <c r="AR43" i="1"/>
  <c r="AR70" i="1"/>
  <c r="AR84" i="1"/>
  <c r="AR4" i="1"/>
  <c r="AR81" i="1"/>
  <c r="AD98" i="1"/>
  <c r="AF98" i="1" s="1"/>
  <c r="AG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Kendal Orrison</author>
  </authors>
  <commentList>
    <comment ref="AV1" authorId="0" shapeId="0" xr:uid="{3F98F1CC-2CE9-4347-965F-94A47D0CC303}">
      <text>
        <r>
          <rPr>
            <b/>
            <sz val="9"/>
            <color indexed="81"/>
            <rFont val="Tahoma"/>
            <family val="2"/>
          </rPr>
          <t>Kendal Orrison:</t>
        </r>
        <r>
          <rPr>
            <sz val="9"/>
            <color indexed="81"/>
            <rFont val="Tahoma"/>
            <family val="2"/>
          </rPr>
          <t xml:space="preserve">
This is figured by RAILS as part of the RAILS LLSAP Support Grant.  Libraries with higher percentages of RSA fees to their Operations budget 'earn' more in grant money.  Those 'earning' $875 in grant funds are in the top 25% of libraries paying the least overall in RSA fees inside ALL of the RAILS consortia libraries.
In other words, the bigger the number shown here, the more that library is paying in RSA fees as a percentage of their Operations budget among ALL consortia libraries in RAILS.</t>
        </r>
      </text>
    </comment>
  </commentList>
</comments>
</file>

<file path=xl/sharedStrings.xml><?xml version="1.0" encoding="utf-8"?>
<sst xmlns="http://schemas.openxmlformats.org/spreadsheetml/2006/main" count="647" uniqueCount="383">
  <si>
    <t>Target total revenue needed FY29</t>
  </si>
  <si>
    <t>Per building for additional buildings</t>
  </si>
  <si>
    <t>LLSAP Grant from RAILS</t>
  </si>
  <si>
    <t>Base fee</t>
  </si>
  <si>
    <t>Target Revenue needed from membership fees</t>
  </si>
  <si>
    <t>Service population</t>
  </si>
  <si>
    <t>Registered Users</t>
  </si>
  <si>
    <t>Collection Items</t>
  </si>
  <si>
    <t>Circulations</t>
  </si>
  <si>
    <t>Base fee (flate rate)</t>
  </si>
  <si>
    <t>Building rate (flat rate per)</t>
  </si>
  <si>
    <t>Total</t>
  </si>
  <si>
    <t xml:space="preserve"> Library Name</t>
  </si>
  <si>
    <t>Member Code</t>
  </si>
  <si>
    <t>Number of Buildings</t>
  </si>
  <si>
    <t>Registered Users %</t>
  </si>
  <si>
    <t>Collection Items %</t>
  </si>
  <si>
    <t>Circulation %</t>
  </si>
  <si>
    <t>Alpha Park Public Library District</t>
  </si>
  <si>
    <t>AP_ALPHAPK</t>
  </si>
  <si>
    <t>Astoria Public Library District</t>
  </si>
  <si>
    <t>AASTOR-PLD</t>
  </si>
  <si>
    <t>Atkinson Public Library District</t>
  </si>
  <si>
    <t>AKINSON-PL</t>
  </si>
  <si>
    <t>Atlanta Public Library District</t>
  </si>
  <si>
    <t>ATLANTA-PL</t>
  </si>
  <si>
    <t>Ayer Public Library District</t>
  </si>
  <si>
    <t>AYER-PLD</t>
  </si>
  <si>
    <t>Beardstown Houston Memorial Public Library</t>
  </si>
  <si>
    <t>BEARD-H-ML</t>
  </si>
  <si>
    <t>Blandinsville-Hire Library District</t>
  </si>
  <si>
    <t>BLAND-HIRE</t>
  </si>
  <si>
    <t>Bradford Public Library District</t>
  </si>
  <si>
    <t>BDFORD-PLD</t>
  </si>
  <si>
    <t>Brimfield Public Library District</t>
  </si>
  <si>
    <t>BMFIELDPLD</t>
  </si>
  <si>
    <t>Brown County Public Library District</t>
  </si>
  <si>
    <t>B0_BROWN-C</t>
  </si>
  <si>
    <t>Bushnell Public Library District</t>
  </si>
  <si>
    <t>BUSHNEL-PL</t>
  </si>
  <si>
    <t>Bushnell-Prairie City CUSD #170</t>
  </si>
  <si>
    <t>Cambridge Public Library District</t>
  </si>
  <si>
    <t>CMBRIDGE</t>
  </si>
  <si>
    <t>Carlock Public Library District</t>
  </si>
  <si>
    <t>CK_CARLOCK</t>
  </si>
  <si>
    <t>Carthage Public Library District</t>
  </si>
  <si>
    <t>CARTHAGEPL</t>
  </si>
  <si>
    <t>Chatsworth Area Library</t>
  </si>
  <si>
    <t>CWORTH-PL</t>
  </si>
  <si>
    <t>Chenoa Public Library District</t>
  </si>
  <si>
    <t>CHENOA-PL</t>
  </si>
  <si>
    <t>Chillicothe Public Library District</t>
  </si>
  <si>
    <t>CPCHILLIPL</t>
  </si>
  <si>
    <t>Clayton Public Library District</t>
  </si>
  <si>
    <t>CX_CLAYTON</t>
  </si>
  <si>
    <t>Clover Public Library District</t>
  </si>
  <si>
    <t>CV_CLOVER</t>
  </si>
  <si>
    <t>Colchester District Library</t>
  </si>
  <si>
    <t>CLCHESTER</t>
  </si>
  <si>
    <t>Creve Coeur Public Library District</t>
  </si>
  <si>
    <t>CREVEC-PLD</t>
  </si>
  <si>
    <t>Danvers Township Library</t>
  </si>
  <si>
    <t>DANVERS-TL</t>
  </si>
  <si>
    <t>Deer Creek District Library</t>
  </si>
  <si>
    <t>DR_CREEKPL</t>
  </si>
  <si>
    <t>Dominy Memorial Library</t>
  </si>
  <si>
    <t>DOMINY-ML</t>
  </si>
  <si>
    <t>Dunlap Public Library District</t>
  </si>
  <si>
    <t>DUNLAP-PLD</t>
  </si>
  <si>
    <t>Edwards River Public Library District</t>
  </si>
  <si>
    <t>MERCER-CAR</t>
  </si>
  <si>
    <t>El Paso District Library</t>
  </si>
  <si>
    <t>EB_EL-PASO</t>
  </si>
  <si>
    <t>Eureka Public Library District</t>
  </si>
  <si>
    <t>EUREKA-PLD</t>
  </si>
  <si>
    <t>Farmer City Public Library</t>
  </si>
  <si>
    <t>FC_FARMERC</t>
  </si>
  <si>
    <t>Farmington Area Library District</t>
  </si>
  <si>
    <t>FARM-A-PLD</t>
  </si>
  <si>
    <t>Farmington Central CUSD #265</t>
  </si>
  <si>
    <t>Filger Public Library</t>
  </si>
  <si>
    <t>FILGER-PL</t>
  </si>
  <si>
    <t>Flanagan Public Library District</t>
  </si>
  <si>
    <t>FLANAGN-PL</t>
  </si>
  <si>
    <t>Fondulac Public Library District</t>
  </si>
  <si>
    <t>FONDULAC</t>
  </si>
  <si>
    <t>Forman Valley Public Library District</t>
  </si>
  <si>
    <t>FV_FORMVAL</t>
  </si>
  <si>
    <t>Forrest Public Library District</t>
  </si>
  <si>
    <t>FP_FORREST</t>
  </si>
  <si>
    <t>Four Star Public Library District</t>
  </si>
  <si>
    <t>FSTAR-PLD</t>
  </si>
  <si>
    <t>Galesburg Public Library</t>
  </si>
  <si>
    <t>GU_GBURGPL</t>
  </si>
  <si>
    <t>Galva Public Library District</t>
  </si>
  <si>
    <t>GALVA-PLD</t>
  </si>
  <si>
    <t>Greater West Central Public Library District</t>
  </si>
  <si>
    <t>G0-ALL</t>
  </si>
  <si>
    <t>Greig Memorial Library</t>
  </si>
  <si>
    <t>GM_GREIG-M</t>
  </si>
  <si>
    <t>Gridley Public Library District</t>
  </si>
  <si>
    <t>GD_GRIDLEY</t>
  </si>
  <si>
    <t>H.A. Peine District Library</t>
  </si>
  <si>
    <t>HN_HAPEINE</t>
  </si>
  <si>
    <t>Havana CUSD #126</t>
  </si>
  <si>
    <t>Havana Public Library District</t>
  </si>
  <si>
    <t>HAVANA-PLD</t>
  </si>
  <si>
    <t>Henderson County Public Library District</t>
  </si>
  <si>
    <t>HC_HENDRSN</t>
  </si>
  <si>
    <t>Henry Public Library</t>
  </si>
  <si>
    <t>HY_HENRY</t>
  </si>
  <si>
    <t>Heyworth CUSD #4</t>
  </si>
  <si>
    <t>Heyworth Public Library District</t>
  </si>
  <si>
    <t>HEYWORTHPL</t>
  </si>
  <si>
    <t>Hudson Area Public Library District</t>
  </si>
  <si>
    <t>HP_HUDSON</t>
  </si>
  <si>
    <t>Illinois Prairie District Public Library</t>
  </si>
  <si>
    <t>I0-ALL</t>
  </si>
  <si>
    <t>Jacksonville Public Library</t>
  </si>
  <si>
    <t>JACKSONVIL</t>
  </si>
  <si>
    <t>John Mosser Public Library District</t>
  </si>
  <si>
    <t>JOHNMOSSER</t>
  </si>
  <si>
    <t>Kewanee Public Library District</t>
  </si>
  <si>
    <t>KEWANEE-PL</t>
  </si>
  <si>
    <t>Knoxville Public Library</t>
  </si>
  <si>
    <t>KNOXVIL-PL</t>
  </si>
  <si>
    <t>Lacon Public Library District</t>
  </si>
  <si>
    <t>LC_LACON</t>
  </si>
  <si>
    <t>Laharpe Carnegie Public Library District</t>
  </si>
  <si>
    <t>LAHARP-CAR</t>
  </si>
  <si>
    <t>Lexington Public Library District</t>
  </si>
  <si>
    <t>LP_LEX-PLD</t>
  </si>
  <si>
    <t>Lillie M. Evans Library District</t>
  </si>
  <si>
    <t>LILLIE-M-E</t>
  </si>
  <si>
    <t>Mackinaw District Public Library</t>
  </si>
  <si>
    <t>MKINAW-DPL</t>
  </si>
  <si>
    <t>Macomb Public Library District</t>
  </si>
  <si>
    <t>MACOMB-PLD</t>
  </si>
  <si>
    <t>Maquon Public Library District</t>
  </si>
  <si>
    <t>MU_MAQUON</t>
  </si>
  <si>
    <t>Marquette Heights Public Library</t>
  </si>
  <si>
    <t>MQUETTE-HT</t>
  </si>
  <si>
    <t>Martin Township Public Library</t>
  </si>
  <si>
    <t>MT_MARTIN</t>
  </si>
  <si>
    <t>Mason Memorial Library District</t>
  </si>
  <si>
    <t>MM_MASON-M</t>
  </si>
  <si>
    <t>M-C River Valley Public Library District</t>
  </si>
  <si>
    <t>MR_MC-RIV</t>
  </si>
  <si>
    <t>Morrison &amp; Mary Wiley Library</t>
  </si>
  <si>
    <t>MW_MOR-M-W</t>
  </si>
  <si>
    <t>Morton Public Library District</t>
  </si>
  <si>
    <t>MP_MORTON</t>
  </si>
  <si>
    <t>Mount Hope-Funk's Grove Townships Public Library District</t>
  </si>
  <si>
    <t>MF_MHFGPLD</t>
  </si>
  <si>
    <t>Nauvoo Public Library</t>
  </si>
  <si>
    <t>NAUVOO-PL</t>
  </si>
  <si>
    <t>Neponset Public Library</t>
  </si>
  <si>
    <t>NEPONSET</t>
  </si>
  <si>
    <t>New Windsor Public Library District</t>
  </si>
  <si>
    <t>NW_WINDSOR</t>
  </si>
  <si>
    <t>Normal Public Library</t>
  </si>
  <si>
    <t>NP_NORMAL</t>
  </si>
  <si>
    <t>North Pike District Library</t>
  </si>
  <si>
    <t>GI_GRIGVIL</t>
  </si>
  <si>
    <t>Odell Public Library District</t>
  </si>
  <si>
    <t>ODELL-PL</t>
  </si>
  <si>
    <t>Olympia CUSD #16</t>
  </si>
  <si>
    <t>Pekin Public Library</t>
  </si>
  <si>
    <t>PK_PEKINPL</t>
  </si>
  <si>
    <t>Peoria Heights Public Library</t>
  </si>
  <si>
    <t>PHEIGHTS</t>
  </si>
  <si>
    <t>Peoria Public Library</t>
  </si>
  <si>
    <t>P0-ALL</t>
  </si>
  <si>
    <t>Pittsfield Public Library</t>
  </si>
  <si>
    <t>PITTSFIELD</t>
  </si>
  <si>
    <t>Pleasant Plains CUSD #8</t>
  </si>
  <si>
    <t>Pontiac Public Library</t>
  </si>
  <si>
    <t>PONTIAC-PL</t>
  </si>
  <si>
    <t>Prairie Creek Public Library District</t>
  </si>
  <si>
    <t>PRAIRIE-CR</t>
  </si>
  <si>
    <t>Prairie Skies Public Library District</t>
  </si>
  <si>
    <t>Z0-ALL</t>
  </si>
  <si>
    <t>Quincy Public Library</t>
  </si>
  <si>
    <t>QU-ALL</t>
  </si>
  <si>
    <t>Ransom Memorial Public Library</t>
  </si>
  <si>
    <t>RANSOM-MEM</t>
  </si>
  <si>
    <t>Roanoke-Benson CUSD #60</t>
  </si>
  <si>
    <t>Rushville Public Library</t>
  </si>
  <si>
    <t>RUSHVIL-PL</t>
  </si>
  <si>
    <t>Salem Township Public Library District</t>
  </si>
  <si>
    <t>SALEM-TL</t>
  </si>
  <si>
    <t>Spoon River Library District</t>
  </si>
  <si>
    <t>SPOON-RIVR</t>
  </si>
  <si>
    <t>Spoon River Valley CUSD #4</t>
  </si>
  <si>
    <t>Toulon Public Library District</t>
  </si>
  <si>
    <t>TOULON-PLD</t>
  </si>
  <si>
    <t>Towanda District Library</t>
  </si>
  <si>
    <t>TWANDA-DL</t>
  </si>
  <si>
    <t>Tremont District Library</t>
  </si>
  <si>
    <t>TD_TREMONT</t>
  </si>
  <si>
    <t>Valley District Library</t>
  </si>
  <si>
    <t>VL_VALLEY</t>
  </si>
  <si>
    <t>Village Of Avon Public Library</t>
  </si>
  <si>
    <t>VA_AVON-PL</t>
  </si>
  <si>
    <t>Viola Public Library District</t>
  </si>
  <si>
    <t>VIOLA-PLD</t>
  </si>
  <si>
    <t>Virginia Memorial Public Library</t>
  </si>
  <si>
    <t>VRGINIA-PL</t>
  </si>
  <si>
    <t>Warren County Public Library District</t>
  </si>
  <si>
    <t>WA-ALL</t>
  </si>
  <si>
    <t>Washington District Library</t>
  </si>
  <si>
    <t>W0-ALL</t>
  </si>
  <si>
    <t>Wethersfield CUSD #230</t>
  </si>
  <si>
    <t>Williamsfield Public Library District</t>
  </si>
  <si>
    <t>WLMFLD-PLD</t>
  </si>
  <si>
    <t>Winchester CUSD #1</t>
  </si>
  <si>
    <t>Winchester Public Library</t>
  </si>
  <si>
    <t>WNCHESTER</t>
  </si>
  <si>
    <t>Wyoming Public Library District</t>
  </si>
  <si>
    <t>WYOMING-PL</t>
  </si>
  <si>
    <t>Interest income</t>
  </si>
  <si>
    <t>FY26</t>
  </si>
  <si>
    <t>FY27</t>
  </si>
  <si>
    <t>FY28</t>
  </si>
  <si>
    <t>Net of interest</t>
  </si>
  <si>
    <t>Factor</t>
  </si>
  <si>
    <t>Revenue</t>
  </si>
  <si>
    <t>Per item</t>
  </si>
  <si>
    <t>Base Fee</t>
  </si>
  <si>
    <t>Service Population</t>
  </si>
  <si>
    <t>Registered Users (all)</t>
  </si>
  <si>
    <t>Number of items</t>
  </si>
  <si>
    <t>Circs</t>
  </si>
  <si>
    <t>Fee Calculator for Public Libraries in FY29</t>
  </si>
  <si>
    <t>User Library</t>
  </si>
  <si>
    <t>Dec 31 2021</t>
  </si>
  <si>
    <t>Dec 31 2022</t>
  </si>
  <si>
    <t>Oct 31 2023</t>
  </si>
  <si>
    <t>A-C Central CUSD #262</t>
  </si>
  <si>
    <t>Astoria CUSD #1 - K-12</t>
  </si>
  <si>
    <t>Ayer Public Library</t>
  </si>
  <si>
    <t>Beardstown CUSD</t>
  </si>
  <si>
    <t>Blandinsville-Hire Public Library</t>
  </si>
  <si>
    <t>Blessing Health Professions</t>
  </si>
  <si>
    <t>Bradford CUSD #1 - Grade School</t>
  </si>
  <si>
    <t>Brown County Public Library</t>
  </si>
  <si>
    <t>Cambridge CUSD #227 -</t>
  </si>
  <si>
    <t>Cambridge Public Library</t>
  </si>
  <si>
    <t>Camp Point CUSD #3 - Central Jr-Sr High School</t>
  </si>
  <si>
    <t>Canton CUSD #66 - High School</t>
  </si>
  <si>
    <t>Carthage Public Library</t>
  </si>
  <si>
    <t>Chatsworth Township Public Library</t>
  </si>
  <si>
    <t>Chenoa Public Library</t>
  </si>
  <si>
    <t>Clover Public Library District in Woodhull</t>
  </si>
  <si>
    <t>Deer Creek - Mackinaw CUSD #701 -</t>
  </si>
  <si>
    <t>Delavan CUSD #703</t>
  </si>
  <si>
    <t>East Peoria H.S.  #309</t>
  </si>
  <si>
    <t>El Paso Public Library</t>
  </si>
  <si>
    <t>Eureka CUSD #140 -</t>
  </si>
  <si>
    <t>Farmington Area Public Library District</t>
  </si>
  <si>
    <t>Flanagan-Cornell Unit 74 - High School</t>
  </si>
  <si>
    <t>Forman Valley Public Library</t>
  </si>
  <si>
    <t>Fulton CUSD #3 -</t>
  </si>
  <si>
    <t xml:space="preserve">Galva CUSD #224 </t>
  </si>
  <si>
    <t>Graham Hospital School of Nursing</t>
  </si>
  <si>
    <t xml:space="preserve">Greater West Central PL </t>
  </si>
  <si>
    <t>H. A. Peine District Library</t>
  </si>
  <si>
    <t xml:space="preserve">Henry-Senachwine CUSD #5 </t>
  </si>
  <si>
    <t xml:space="preserve">Illini Bluffs UD #327 </t>
  </si>
  <si>
    <t>Illinois Prairie DPL</t>
  </si>
  <si>
    <t>Illinois Veterans Home</t>
  </si>
  <si>
    <t>IVC UD #321 -</t>
  </si>
  <si>
    <t>Kewanee CUSD #229 - High School</t>
  </si>
  <si>
    <t>Lacon Public Library</t>
  </si>
  <si>
    <t>LaHarpe Carnegie Public Library District</t>
  </si>
  <si>
    <t>Maquon District Public Library</t>
  </si>
  <si>
    <t>Mason Memorial Public Library</t>
  </si>
  <si>
    <t>McLean County Museum of History</t>
  </si>
  <si>
    <t>Mercer County SD #404 - High School</t>
  </si>
  <si>
    <t>Midwest Central CUSD #191</t>
  </si>
  <si>
    <t>Morrison &amp; Mary Wiley</t>
  </si>
  <si>
    <t>Mt. Hope-Funks Grove Public Library District</t>
  </si>
  <si>
    <t>North Pike Library District</t>
  </si>
  <si>
    <t xml:space="preserve">Peoria Public Library </t>
  </si>
  <si>
    <t>Pontiac Township HSD #90 - High School</t>
  </si>
  <si>
    <t>Prairie Skies PLD - Main Library</t>
  </si>
  <si>
    <t>Quincy Notre Dame H.S.</t>
  </si>
  <si>
    <t xml:space="preserve">Quincy Public Library </t>
  </si>
  <si>
    <t>ROWVA CUSD #208 Elementary School</t>
  </si>
  <si>
    <t>Spoon River College - Canton</t>
  </si>
  <si>
    <t>St Mark Catholic School</t>
  </si>
  <si>
    <t>Stark County CUSD # 100</t>
  </si>
  <si>
    <t>Unity H. S. CUSD #4</t>
  </si>
  <si>
    <t>Virginia CUSD #64</t>
  </si>
  <si>
    <t xml:space="preserve">Warren County Public Library </t>
  </si>
  <si>
    <t>Washington CHSD #308 - High School</t>
  </si>
  <si>
    <t xml:space="preserve">Washington District Library </t>
  </si>
  <si>
    <t>West Central SD #235 - ES &amp; HS</t>
  </si>
  <si>
    <t>Abingdon - Avon District 276</t>
  </si>
  <si>
    <t xml:space="preserve">AlWood CUSD #225 </t>
  </si>
  <si>
    <t xml:space="preserve"> Registered Users 3 year average - publics</t>
  </si>
  <si>
    <t>3 year Average</t>
  </si>
  <si>
    <t>Users</t>
  </si>
  <si>
    <t>June 30 2021</t>
  </si>
  <si>
    <t>June 30 2022</t>
  </si>
  <si>
    <t>June 30 2023</t>
  </si>
  <si>
    <t>3 year average</t>
  </si>
  <si>
    <t>Item Holdings</t>
  </si>
  <si>
    <t>Total Circulation of Materials 3 year -publics</t>
  </si>
  <si>
    <t>Village of Avon Public Library</t>
  </si>
  <si>
    <t>Item holdings 3 yr - publics</t>
  </si>
  <si>
    <t>A</t>
  </si>
  <si>
    <t>C</t>
  </si>
  <si>
    <t>B</t>
  </si>
  <si>
    <t>D</t>
  </si>
  <si>
    <t>Plus / Minus over Goal</t>
  </si>
  <si>
    <t>Minimum fee</t>
  </si>
  <si>
    <t>FY29 Revenue achieved</t>
  </si>
  <si>
    <t>Grant for Publics</t>
  </si>
  <si>
    <t>Fees from Publics</t>
  </si>
  <si>
    <t>Grand total</t>
  </si>
  <si>
    <t>Total from Publics</t>
  </si>
  <si>
    <t>Number paying minimum fee</t>
  </si>
  <si>
    <t>Yes</t>
  </si>
  <si>
    <t>Resort to Alpha</t>
  </si>
  <si>
    <t>No</t>
  </si>
  <si>
    <t>Service Population 2020 Census</t>
  </si>
  <si>
    <t>Service Pop Class</t>
  </si>
  <si>
    <t>Service Population %</t>
  </si>
  <si>
    <t>Adjust for min $3200</t>
  </si>
  <si>
    <t>FY29 after manual adjusts</t>
  </si>
  <si>
    <t>Non-OCLC 10% Increase</t>
  </si>
  <si>
    <t>Less than 2K</t>
  </si>
  <si>
    <t>2K -4K</t>
  </si>
  <si>
    <t>4K - 10K</t>
  </si>
  <si>
    <t>10K+</t>
  </si>
  <si>
    <t>Service Population rate of 34 cents</t>
  </si>
  <si>
    <t>Registered Users rate of 89 cents</t>
  </si>
  <si>
    <t>Collection items rate of 7 cents</t>
  </si>
  <si>
    <t>Circulations rate of 6 cents</t>
  </si>
  <si>
    <t>Building rate of $2000 after first</t>
  </si>
  <si>
    <t>FY25 greater of $150 or 3%</t>
  </si>
  <si>
    <t>Number whose increase is greater than 199%</t>
  </si>
  <si>
    <t>FY24 Percentage of total</t>
  </si>
  <si>
    <t>FY26 Total</t>
  </si>
  <si>
    <t>FY27 Total</t>
  </si>
  <si>
    <t>FY28 Total</t>
  </si>
  <si>
    <t>FY29 Total</t>
  </si>
  <si>
    <t>FY24 Fee Ranking</t>
  </si>
  <si>
    <t>FY29 Fee Ranking</t>
  </si>
  <si>
    <t>RSA fee as % of Ops Budget - Grant Fund Earned</t>
  </si>
  <si>
    <t>Fees from Non-Publics</t>
  </si>
  <si>
    <t>Grant for Non-Publics</t>
  </si>
  <si>
    <t>Total from Non-Publics</t>
  </si>
  <si>
    <t>Initial Total of rates</t>
  </si>
  <si>
    <t>FY25 greater of $150 or 3% + non-OCLC surcharge</t>
  </si>
  <si>
    <t>Initial Public Revenue Breakouts based on RAW Data</t>
  </si>
  <si>
    <t>Final Revenue Breakouts Used in Fee Calculator (Over 25K pop-served needs to contact RSA for pricing)</t>
  </si>
  <si>
    <t>Are you an OCLC Member? (Type Yes or No)</t>
  </si>
  <si>
    <t>Total Fee including OCLC surcharge</t>
  </si>
  <si>
    <t>Your Fee</t>
  </si>
  <si>
    <t>The structure for public libraries is based on the following components:</t>
  </si>
  <si>
    <t>The fee amounts for items 3 - 6 were arrived at to give roughly equal overall dollar amount weight to each of these four factors.</t>
  </si>
  <si>
    <r>
      <t>1.</t>
    </r>
    <r>
      <rPr>
        <b/>
        <sz val="7"/>
        <color theme="1"/>
        <rFont val="Times New Roman"/>
        <family val="1"/>
      </rPr>
      <t xml:space="preserve">      </t>
    </r>
    <r>
      <rPr>
        <b/>
        <sz val="12"/>
        <color theme="1"/>
        <rFont val="Aptos"/>
        <family val="2"/>
      </rPr>
      <t>A flat base fee of $1,000.</t>
    </r>
  </si>
  <si>
    <r>
      <t>2.</t>
    </r>
    <r>
      <rPr>
        <b/>
        <sz val="7"/>
        <color theme="1"/>
        <rFont val="Times New Roman"/>
        <family val="1"/>
      </rPr>
      <t xml:space="preserve">      </t>
    </r>
    <r>
      <rPr>
        <b/>
        <sz val="12"/>
        <color theme="1"/>
        <rFont val="Aptos"/>
        <family val="2"/>
      </rPr>
      <t>A per-building fee of $2,000 for each building after the first building automated in Workflows.</t>
    </r>
  </si>
  <si>
    <r>
      <t>3.</t>
    </r>
    <r>
      <rPr>
        <b/>
        <sz val="7"/>
        <color theme="1"/>
        <rFont val="Times New Roman"/>
        <family val="1"/>
      </rPr>
      <t xml:space="preserve">      </t>
    </r>
    <r>
      <rPr>
        <b/>
        <sz val="12"/>
        <color theme="1"/>
        <rFont val="Aptos"/>
        <family val="2"/>
      </rPr>
      <t>A fee based on the size of the service population (drawn from the 2020 census data) of $0.34 per person.</t>
    </r>
  </si>
  <si>
    <r>
      <t>4.</t>
    </r>
    <r>
      <rPr>
        <b/>
        <sz val="7"/>
        <color theme="1"/>
        <rFont val="Times New Roman"/>
        <family val="1"/>
      </rPr>
      <t xml:space="preserve">      </t>
    </r>
    <r>
      <rPr>
        <b/>
        <sz val="12"/>
        <color theme="1"/>
        <rFont val="Aptos"/>
        <family val="2"/>
      </rPr>
      <t>A fee based on the number of registered users (derived from 3-year rolling average of Symphony data) of $0.89 per user.</t>
    </r>
  </si>
  <si>
    <r>
      <t>5.</t>
    </r>
    <r>
      <rPr>
        <b/>
        <sz val="7"/>
        <color theme="1"/>
        <rFont val="Times New Roman"/>
        <family val="1"/>
      </rPr>
      <t xml:space="preserve">      </t>
    </r>
    <r>
      <rPr>
        <b/>
        <sz val="12"/>
        <color theme="1"/>
        <rFont val="Aptos"/>
        <family val="2"/>
      </rPr>
      <t>A fee based on total number of items in a library’s collection (derived from 3-year rolling average of Symphony data) of $0.07 per item.</t>
    </r>
  </si>
  <si>
    <r>
      <t>6.</t>
    </r>
    <r>
      <rPr>
        <b/>
        <sz val="7"/>
        <color theme="1"/>
        <rFont val="Times New Roman"/>
        <family val="1"/>
      </rPr>
      <t xml:space="preserve">      </t>
    </r>
    <r>
      <rPr>
        <b/>
        <sz val="12"/>
        <color theme="1"/>
        <rFont val="Aptos"/>
        <family val="2"/>
      </rPr>
      <t>A fee based on total number of circulations (derived from 3-year rolling average of Symphony data) of $0.06 per circulation.</t>
    </r>
  </si>
  <si>
    <t>yes</t>
  </si>
  <si>
    <t>Cumulative Point Ranking (excluding grants) from Ranking Document</t>
  </si>
  <si>
    <t>Overall Ranking from Ranking Document</t>
  </si>
  <si>
    <t>FY29 Manual Adjustment Factor (aprx 1% per year)</t>
  </si>
  <si>
    <t>FY24 Fees invoiced (including non-OCLC surcharge)</t>
  </si>
  <si>
    <t>FY26 non-OCLC surcharge</t>
  </si>
  <si>
    <t>FY27 non-OCLC surcharge</t>
  </si>
  <si>
    <t>FY28 non-OCLC surcharge</t>
  </si>
  <si>
    <t>FY29 non-OCLC surcharge</t>
  </si>
  <si>
    <t>Change FY25-FY29 - Top 10% in Red (not including non-OCLC surcharge)</t>
  </si>
  <si>
    <t>Percentage of public total</t>
  </si>
  <si>
    <t>% increase FY25-FY29</t>
  </si>
  <si>
    <t>&gt;100% increase</t>
  </si>
  <si>
    <t>&gt;199% increase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</si>
</sst>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4" formatCode="_(&quot;$&quot;* #,##0.00_);_(&quot;$&quot;* \(#,##0.00\);_(&quot;$&quot;* &quot;-&quot;??_);_(@_)"/>
    <numFmt numFmtId="43" formatCode="_(* #,##0.00_);_(* \(#,##0.00\);_(* &quot;-&quot;??_);_(@_)"/>
    <numFmt numFmtId="164" formatCode="0.0"/>
    <numFmt numFmtId="165" formatCode="_(* #,##0_);_(* \(#,##0\);_(* &quot;-&quot;??_);_(@_)"/>
    <numFmt numFmtId="166" formatCode="_(* #,##0.00000_);_(* \(#,##0.00000\);_(* &quot;-&quot;??_);_(@_)"/>
    <numFmt numFmtId="167" formatCode="0.00000"/>
    <numFmt numFmtId="168" formatCode="0.0000"/>
    <numFmt numFmtId="169" formatCode="0.0000%"/>
    <numFmt numFmtId="170" formatCode="_(&quot;$&quot;* #,##0.000_);_(&quot;$&quot;* \(#,##0.000\);_(&quot;$&quot;* &quot;-&quot;??_);_(@_)"/>
    <numFmt numFmtId="171" formatCode="_(&quot;$&quot;* #,##0.0000_);_(&quot;$&quot;* \(#,##0.0000\);_(&quot;$&quot;* &quot;-&quot;??_);_(@_)"/>
    <numFmt numFmtId="172" formatCode="&quot;$&quot;#,##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color theme="1"/>
      <name val="Aptos"/>
      <family val="2"/>
    </font>
    <font>
      <b/>
      <sz val="12"/>
      <color theme="1"/>
      <name val="Aptos"/>
      <family val="2"/>
    </font>
    <font>
      <sz val="12"/>
      <name val="Aptos"/>
      <family val="2"/>
    </font>
    <font>
      <b/>
      <sz val="12"/>
      <name val="Aptos"/>
      <family val="2"/>
    </font>
    <font>
      <b/>
      <sz val="11"/>
      <color theme="1"/>
      <name val="Aptos"/>
      <family val="2"/>
    </font>
    <font>
      <sz val="11"/>
      <color theme="1"/>
      <name val="Aptos"/>
      <family val="2"/>
    </font>
    <font>
      <sz val="11"/>
      <color theme="0"/>
      <name val="Aptos"/>
      <family val="2"/>
    </font>
    <font>
      <sz val="11"/>
      <name val="Aptos"/>
      <family val="2"/>
    </font>
    <font>
      <b/>
      <sz val="11"/>
      <name val="Aptos"/>
      <family val="2"/>
    </font>
    <font>
      <b/>
      <sz val="11"/>
      <color theme="0"/>
      <name val="Aptos"/>
      <family val="2"/>
    </font>
    <font>
      <sz val="11"/>
      <color rgb="FF000000"/>
      <name val="Aptos"/>
      <family val="2"/>
    </font>
    <font>
      <sz val="11"/>
      <color theme="0" tint="-0.499984740745262"/>
      <name val="Aptos"/>
      <family val="2"/>
    </font>
    <font>
      <sz val="11"/>
      <color rgb="FFFF0000"/>
      <name val="Aptos"/>
      <family val="2"/>
    </font>
    <font>
      <b/>
      <sz val="7"/>
      <color theme="1"/>
      <name val="Times New Roman"/>
      <family val="1"/>
    </font>
    <font>
      <sz val="9"/>
      <color indexed="81"/>
      <name val="Tahoma"/>
      <family val="2"/>
    </font>
    <font>
      <b/>
      <sz val="9"/>
      <color indexed="81"/>
      <name val="Tahoma"/>
      <family val="2"/>
    </font>
    <font>
      <b/>
      <sz val="11"/>
      <color rgb="FFFF0000"/>
      <name val="Aptos"/>
      <family val="2"/>
    </font>
  </fonts>
  <fills count="26">
    <fill>
      <patternFill patternType="none"/>
    </fill>
    <fill>
      <patternFill patternType="gray125"/>
    </fill>
    <fill>
      <patternFill patternType="solid">
        <fgColor theme="4"/>
        <bgColor theme="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bgColor indexed="64"/>
      </patternFill>
    </fill>
    <fill>
      <patternFill patternType="solid">
        <fgColor theme="2"/>
        <bgColor indexed="64"/>
      </patternFill>
    </fill>
    <fill>
      <patternFill patternType="solid">
        <fgColor theme="4"/>
        <bgColor indexed="64"/>
      </patternFill>
    </fill>
    <fill>
      <patternFill patternType="solid">
        <fgColor theme="3" tint="0.79998168889431442"/>
        <bgColor theme="4" tint="0.79998168889431442"/>
      </patternFill>
    </fill>
    <fill>
      <patternFill patternType="solid">
        <fgColor theme="0"/>
        <bgColor theme="4" tint="0.79998168889431442"/>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1F7ED"/>
        <bgColor indexed="64"/>
      </patternFill>
    </fill>
    <fill>
      <patternFill patternType="solid">
        <fgColor theme="5" tint="0.79998168889431442"/>
        <bgColor indexed="64"/>
      </patternFill>
    </fill>
    <fill>
      <patternFill patternType="solid">
        <fgColor theme="0"/>
        <bgColor rgb="FF000000"/>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style="double">
        <color auto="1"/>
      </top>
      <bottom style="thin">
        <color indexed="64"/>
      </bottom>
      <diagonal/>
    </border>
    <border>
      <left/>
      <right style="double">
        <color auto="1"/>
      </right>
      <top style="double">
        <color auto="1"/>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ont="0" applyFill="0" applyBorder="0" applyProtection="0">
      <alignment horizontal="left" vertical="center"/>
    </xf>
    <xf numFmtId="3" fontId="3" fillId="0" borderId="0" applyFont="0" applyFill="0" applyBorder="0" applyAlignment="0" applyProtection="0"/>
  </cellStyleXfs>
  <cellXfs count="271">
    <xf numFmtId="0" fontId="0" fillId="0" borderId="0" xfId="0"/>
    <xf numFmtId="0" fontId="0" fillId="0" borderId="0" xfId="0" applyAlignment="1">
      <alignment vertical="center"/>
    </xf>
    <xf numFmtId="44" fontId="2" fillId="0" borderId="0" xfId="2" applyFont="1" applyAlignment="1">
      <alignment vertical="center"/>
    </xf>
    <xf numFmtId="9" fontId="0" fillId="0" borderId="0" xfId="3" applyFont="1" applyAlignment="1">
      <alignment vertical="center"/>
    </xf>
    <xf numFmtId="165" fontId="0" fillId="0" borderId="0" xfId="1" applyNumberFormat="1" applyFont="1" applyAlignment="1">
      <alignment vertical="center"/>
    </xf>
    <xf numFmtId="44" fontId="0" fillId="0" borderId="0" xfId="2" applyFont="1" applyAlignment="1">
      <alignment vertical="center"/>
    </xf>
    <xf numFmtId="0" fontId="4" fillId="0" borderId="0" xfId="0" applyFont="1" applyAlignment="1">
      <alignment vertical="center"/>
    </xf>
    <xf numFmtId="0" fontId="6" fillId="14" borderId="1" xfId="0" applyFont="1" applyFill="1" applyBorder="1" applyAlignment="1">
      <alignment horizontal="left" vertical="center" wrapText="1"/>
    </xf>
    <xf numFmtId="0" fontId="7" fillId="6" borderId="1" xfId="0" applyFont="1" applyFill="1" applyBorder="1" applyAlignment="1">
      <alignment horizontal="right" vertical="center" wrapText="1"/>
    </xf>
    <xf numFmtId="0" fontId="5" fillId="7" borderId="1" xfId="0" applyFont="1" applyFill="1" applyBorder="1" applyAlignment="1">
      <alignment horizontal="right" vertical="center" wrapText="1"/>
    </xf>
    <xf numFmtId="0" fontId="5" fillId="15" borderId="1" xfId="0" applyFont="1" applyFill="1" applyBorder="1" applyAlignment="1">
      <alignment horizontal="right" vertical="center" wrapText="1"/>
    </xf>
    <xf numFmtId="165" fontId="6" fillId="14" borderId="1" xfId="1" applyNumberFormat="1" applyFont="1" applyFill="1" applyBorder="1" applyAlignment="1">
      <alignment horizontal="left" vertical="center" wrapText="1"/>
    </xf>
    <xf numFmtId="165" fontId="6" fillId="6" borderId="1" xfId="1" applyNumberFormat="1" applyFont="1" applyFill="1" applyBorder="1" applyAlignment="1">
      <alignment horizontal="right" vertical="center"/>
    </xf>
    <xf numFmtId="165" fontId="6" fillId="6" borderId="1" xfId="1" applyNumberFormat="1" applyFont="1" applyFill="1" applyBorder="1" applyAlignment="1">
      <alignment vertical="center"/>
    </xf>
    <xf numFmtId="165" fontId="6" fillId="7" borderId="1" xfId="1" applyNumberFormat="1" applyFont="1" applyFill="1" applyBorder="1" applyAlignment="1">
      <alignment vertical="center"/>
    </xf>
    <xf numFmtId="165" fontId="4" fillId="7" borderId="1" xfId="1" applyNumberFormat="1" applyFont="1" applyFill="1" applyBorder="1" applyAlignment="1">
      <alignment vertical="center"/>
    </xf>
    <xf numFmtId="165" fontId="4" fillId="15" borderId="1" xfId="1" applyNumberFormat="1" applyFont="1" applyFill="1" applyBorder="1" applyAlignment="1">
      <alignment vertical="center"/>
    </xf>
    <xf numFmtId="165" fontId="4" fillId="0" borderId="0" xfId="1" applyNumberFormat="1" applyFont="1" applyAlignment="1">
      <alignment vertical="center"/>
    </xf>
    <xf numFmtId="165" fontId="4" fillId="0" borderId="0" xfId="0" applyNumberFormat="1" applyFont="1" applyAlignment="1">
      <alignment vertical="center"/>
    </xf>
    <xf numFmtId="0" fontId="9" fillId="13" borderId="11" xfId="0" applyFont="1" applyFill="1" applyBorder="1" applyAlignment="1">
      <alignment vertical="center"/>
    </xf>
    <xf numFmtId="165" fontId="9" fillId="13" borderId="0" xfId="1" applyNumberFormat="1" applyFont="1" applyFill="1" applyBorder="1" applyAlignment="1">
      <alignment vertical="center"/>
    </xf>
    <xf numFmtId="44" fontId="9" fillId="13" borderId="12" xfId="2" applyFont="1" applyFill="1" applyBorder="1" applyAlignment="1">
      <alignment vertical="center"/>
    </xf>
    <xf numFmtId="165" fontId="9" fillId="13" borderId="1" xfId="1" applyNumberFormat="1" applyFont="1" applyFill="1" applyBorder="1" applyAlignment="1">
      <alignment vertical="center"/>
    </xf>
    <xf numFmtId="0" fontId="8" fillId="13" borderId="11" xfId="0" applyFont="1" applyFill="1" applyBorder="1" applyAlignment="1">
      <alignment vertical="center"/>
    </xf>
    <xf numFmtId="44" fontId="8" fillId="13" borderId="17" xfId="2" applyFont="1" applyFill="1" applyBorder="1" applyAlignment="1">
      <alignment vertical="center"/>
    </xf>
    <xf numFmtId="0" fontId="9" fillId="13" borderId="11" xfId="0" applyFont="1" applyFill="1" applyBorder="1" applyAlignment="1">
      <alignment vertical="center" wrapText="1"/>
    </xf>
    <xf numFmtId="165" fontId="9" fillId="13" borderId="1" xfId="1" applyNumberFormat="1" applyFont="1" applyFill="1" applyBorder="1" applyAlignment="1">
      <alignment horizontal="right" vertical="center"/>
    </xf>
    <xf numFmtId="0" fontId="8" fillId="13" borderId="13" xfId="0" applyFont="1" applyFill="1" applyBorder="1" applyAlignment="1">
      <alignment vertical="center" wrapText="1"/>
    </xf>
    <xf numFmtId="165" fontId="9" fillId="13" borderId="14" xfId="1" applyNumberFormat="1" applyFont="1" applyFill="1" applyBorder="1" applyAlignment="1">
      <alignment vertical="center"/>
    </xf>
    <xf numFmtId="0" fontId="8" fillId="23" borderId="2" xfId="0" applyFont="1" applyFill="1" applyBorder="1" applyAlignment="1">
      <alignment horizontal="left" vertical="center" wrapText="1"/>
    </xf>
    <xf numFmtId="10" fontId="8" fillId="23" borderId="3" xfId="3" applyNumberFormat="1" applyFont="1" applyFill="1" applyBorder="1" applyAlignment="1">
      <alignment vertical="center" wrapText="1"/>
    </xf>
    <xf numFmtId="170" fontId="9" fillId="0" borderId="0" xfId="2" applyNumberFormat="1" applyFont="1" applyAlignment="1">
      <alignment vertical="center" wrapText="1"/>
    </xf>
    <xf numFmtId="164" fontId="10" fillId="8" borderId="0" xfId="2" applyNumberFormat="1" applyFont="1" applyFill="1" applyBorder="1" applyAlignment="1">
      <alignment vertical="center" wrapText="1"/>
    </xf>
    <xf numFmtId="0" fontId="9" fillId="0" borderId="0" xfId="0" applyFont="1" applyAlignment="1">
      <alignment vertical="center" wrapText="1"/>
    </xf>
    <xf numFmtId="0" fontId="9" fillId="0" borderId="2" xfId="0" applyFont="1" applyBorder="1" applyAlignment="1">
      <alignment horizontal="left" vertical="center" wrapText="1"/>
    </xf>
    <xf numFmtId="10" fontId="8" fillId="0" borderId="3" xfId="3" applyNumberFormat="1" applyFont="1" applyBorder="1" applyAlignment="1">
      <alignment vertical="center" wrapText="1"/>
    </xf>
    <xf numFmtId="0" fontId="10" fillId="10" borderId="0" xfId="0" applyFont="1" applyFill="1" applyAlignment="1">
      <alignment vertical="center" wrapText="1"/>
    </xf>
    <xf numFmtId="0" fontId="9" fillId="0" borderId="4" xfId="0" applyFont="1" applyBorder="1" applyAlignment="1">
      <alignment horizontal="left" vertical="center" wrapText="1"/>
    </xf>
    <xf numFmtId="10" fontId="8" fillId="0" borderId="5" xfId="3" applyNumberFormat="1" applyFont="1" applyBorder="1" applyAlignment="1">
      <alignment vertical="center" wrapText="1"/>
    </xf>
    <xf numFmtId="2" fontId="10" fillId="17" borderId="0" xfId="0" applyNumberFormat="1" applyFont="1" applyFill="1" applyAlignment="1">
      <alignment vertical="center" wrapText="1"/>
    </xf>
    <xf numFmtId="0" fontId="11" fillId="0" borderId="4" xfId="0" applyFont="1" applyBorder="1" applyAlignment="1">
      <alignment horizontal="left" vertical="center" wrapText="1"/>
    </xf>
    <xf numFmtId="2" fontId="9" fillId="0" borderId="0" xfId="0" applyNumberFormat="1" applyFont="1" applyAlignment="1">
      <alignment vertical="center" wrapText="1"/>
    </xf>
    <xf numFmtId="0" fontId="9" fillId="0" borderId="0" xfId="0" applyFont="1" applyAlignment="1">
      <alignment vertical="center"/>
    </xf>
    <xf numFmtId="10" fontId="9" fillId="13" borderId="4" xfId="3" applyNumberFormat="1" applyFont="1" applyFill="1" applyBorder="1" applyAlignment="1">
      <alignment horizontal="left" vertical="center" wrapText="1"/>
    </xf>
    <xf numFmtId="10" fontId="8" fillId="13" borderId="5" xfId="3" applyNumberFormat="1" applyFont="1" applyFill="1" applyBorder="1" applyAlignment="1">
      <alignment vertical="center" wrapText="1"/>
    </xf>
    <xf numFmtId="43" fontId="8" fillId="0" borderId="0" xfId="1" applyFont="1" applyBorder="1" applyAlignment="1">
      <alignment vertical="center" wrapText="1"/>
    </xf>
    <xf numFmtId="2" fontId="11" fillId="0" borderId="0" xfId="0" applyNumberFormat="1" applyFont="1" applyAlignment="1">
      <alignment vertical="center" wrapText="1"/>
    </xf>
    <xf numFmtId="0" fontId="9" fillId="0" borderId="0" xfId="0" quotePrefix="1" applyFont="1" applyAlignment="1">
      <alignment vertical="center"/>
    </xf>
    <xf numFmtId="10" fontId="9" fillId="0" borderId="0" xfId="3" applyNumberFormat="1" applyFont="1" applyBorder="1" applyAlignment="1">
      <alignment vertical="center" wrapText="1"/>
    </xf>
    <xf numFmtId="170" fontId="9" fillId="0" borderId="0" xfId="2" applyNumberFormat="1" applyFont="1" applyBorder="1" applyAlignment="1">
      <alignment vertical="center" wrapText="1"/>
    </xf>
    <xf numFmtId="170" fontId="9" fillId="13" borderId="2" xfId="2" applyNumberFormat="1" applyFont="1" applyFill="1" applyBorder="1" applyAlignment="1">
      <alignment horizontal="left" vertical="center" wrapText="1"/>
    </xf>
    <xf numFmtId="10" fontId="8" fillId="13" borderId="3" xfId="3" applyNumberFormat="1" applyFont="1" applyFill="1" applyBorder="1" applyAlignment="1">
      <alignment vertical="center" wrapText="1"/>
    </xf>
    <xf numFmtId="170" fontId="8" fillId="0" borderId="0" xfId="2" applyNumberFormat="1" applyFont="1" applyBorder="1" applyAlignment="1">
      <alignment vertical="center" wrapText="1"/>
    </xf>
    <xf numFmtId="170" fontId="9" fillId="0" borderId="4" xfId="2" applyNumberFormat="1" applyFont="1" applyFill="1" applyBorder="1" applyAlignment="1">
      <alignment horizontal="left" vertical="center" wrapText="1"/>
    </xf>
    <xf numFmtId="10" fontId="8" fillId="0" borderId="5" xfId="3" applyNumberFormat="1" applyFont="1" applyFill="1" applyBorder="1" applyAlignment="1">
      <alignment vertical="center" wrapText="1"/>
    </xf>
    <xf numFmtId="43" fontId="9" fillId="4" borderId="4" xfId="1" applyFont="1" applyFill="1" applyBorder="1" applyAlignment="1">
      <alignment horizontal="left" vertical="center" wrapText="1"/>
    </xf>
    <xf numFmtId="10" fontId="8" fillId="4" borderId="5" xfId="3" applyNumberFormat="1" applyFont="1" applyFill="1" applyBorder="1" applyAlignment="1">
      <alignment vertical="center" wrapText="1"/>
    </xf>
    <xf numFmtId="10" fontId="8" fillId="0" borderId="0" xfId="3" applyNumberFormat="1" applyFont="1" applyBorder="1" applyAlignment="1">
      <alignment vertical="center" wrapText="1"/>
    </xf>
    <xf numFmtId="10" fontId="12" fillId="0" borderId="0" xfId="3" applyNumberFormat="1" applyFont="1" applyBorder="1" applyAlignment="1">
      <alignment vertical="center" wrapText="1"/>
    </xf>
    <xf numFmtId="170" fontId="9" fillId="4" borderId="2" xfId="2" applyNumberFormat="1" applyFont="1" applyFill="1" applyBorder="1" applyAlignment="1">
      <alignment horizontal="left" vertical="center" wrapText="1"/>
    </xf>
    <xf numFmtId="10" fontId="8" fillId="4" borderId="3" xfId="3" applyNumberFormat="1" applyFont="1" applyFill="1" applyBorder="1" applyAlignment="1">
      <alignment vertical="center" wrapText="1"/>
    </xf>
    <xf numFmtId="170" fontId="9" fillId="0" borderId="0" xfId="2" applyNumberFormat="1" applyFont="1" applyFill="1" applyBorder="1" applyAlignment="1">
      <alignment horizontal="left" vertical="center" wrapText="1"/>
    </xf>
    <xf numFmtId="10" fontId="8" fillId="0" borderId="0" xfId="3" applyNumberFormat="1" applyFont="1" applyFill="1" applyBorder="1" applyAlignment="1">
      <alignment vertical="center" wrapText="1"/>
    </xf>
    <xf numFmtId="10" fontId="11" fillId="23" borderId="21" xfId="3" applyNumberFormat="1" applyFont="1" applyFill="1" applyBorder="1" applyAlignment="1">
      <alignment horizontal="left" vertical="center" wrapText="1"/>
    </xf>
    <xf numFmtId="10" fontId="8" fillId="23" borderId="23" xfId="3" applyNumberFormat="1" applyFont="1" applyFill="1" applyBorder="1" applyAlignment="1">
      <alignment vertical="center" wrapText="1"/>
    </xf>
    <xf numFmtId="0" fontId="9" fillId="0" borderId="6" xfId="0" applyFont="1" applyBorder="1" applyAlignment="1">
      <alignment horizontal="left" vertical="center" wrapText="1"/>
    </xf>
    <xf numFmtId="10" fontId="8" fillId="0" borderId="7" xfId="3" applyNumberFormat="1" applyFont="1" applyBorder="1" applyAlignment="1">
      <alignment vertical="center" wrapText="1"/>
    </xf>
    <xf numFmtId="170" fontId="12" fillId="0" borderId="0" xfId="2" applyNumberFormat="1" applyFont="1" applyBorder="1" applyAlignment="1">
      <alignment vertical="center" wrapText="1"/>
    </xf>
    <xf numFmtId="0" fontId="11" fillId="0" borderId="0" xfId="0" applyFont="1" applyAlignment="1">
      <alignment vertical="center" wrapText="1"/>
    </xf>
    <xf numFmtId="170" fontId="9" fillId="0" borderId="0" xfId="2" applyNumberFormat="1" applyFont="1" applyBorder="1" applyAlignment="1">
      <alignment vertical="center"/>
    </xf>
    <xf numFmtId="0" fontId="9" fillId="0" borderId="0" xfId="0" applyFont="1" applyAlignment="1">
      <alignment horizontal="right" vertical="center"/>
    </xf>
    <xf numFmtId="0" fontId="12" fillId="0" borderId="0" xfId="0" applyFont="1" applyAlignment="1">
      <alignment vertical="center"/>
    </xf>
    <xf numFmtId="170" fontId="8" fillId="0" borderId="0" xfId="2" applyNumberFormat="1" applyFont="1" applyBorder="1" applyAlignment="1">
      <alignment vertical="center"/>
    </xf>
    <xf numFmtId="0" fontId="11" fillId="0" borderId="16" xfId="0" applyFont="1" applyBorder="1" applyAlignment="1">
      <alignment horizontal="left" vertical="center" wrapText="1"/>
    </xf>
    <xf numFmtId="170" fontId="11" fillId="0" borderId="16" xfId="2" applyNumberFormat="1" applyFont="1" applyBorder="1" applyAlignment="1">
      <alignment horizontal="right" vertical="center" wrapText="1"/>
    </xf>
    <xf numFmtId="170" fontId="12" fillId="0" borderId="0" xfId="2" applyNumberFormat="1" applyFont="1" applyFill="1" applyBorder="1" applyAlignment="1">
      <alignment vertical="center" wrapText="1"/>
    </xf>
    <xf numFmtId="44" fontId="12" fillId="0" borderId="28" xfId="2" applyFont="1" applyBorder="1" applyAlignment="1">
      <alignment horizontal="right" vertical="center" wrapText="1"/>
    </xf>
    <xf numFmtId="170" fontId="12" fillId="0" borderId="29" xfId="2" applyNumberFormat="1" applyFont="1" applyBorder="1" applyAlignment="1">
      <alignment horizontal="right" vertical="center" wrapText="1"/>
    </xf>
    <xf numFmtId="170" fontId="9" fillId="0" borderId="0" xfId="2" applyNumberFormat="1" applyFont="1" applyAlignment="1">
      <alignment vertical="center"/>
    </xf>
    <xf numFmtId="0" fontId="11" fillId="5" borderId="0" xfId="0" applyFont="1" applyFill="1" applyAlignment="1">
      <alignment vertical="center" wrapText="1"/>
    </xf>
    <xf numFmtId="171" fontId="11" fillId="5" borderId="0" xfId="2" applyNumberFormat="1" applyFont="1" applyFill="1" applyBorder="1" applyAlignment="1">
      <alignment vertical="center" wrapText="1"/>
    </xf>
    <xf numFmtId="171" fontId="11" fillId="0" borderId="0" xfId="2" applyNumberFormat="1" applyFont="1" applyFill="1" applyBorder="1" applyAlignment="1">
      <alignment vertical="center" wrapText="1"/>
    </xf>
    <xf numFmtId="0" fontId="11" fillId="6" borderId="0" xfId="0" applyFont="1" applyFill="1" applyAlignment="1">
      <alignment vertical="center" wrapText="1"/>
    </xf>
    <xf numFmtId="171" fontId="11" fillId="6" borderId="0" xfId="2" applyNumberFormat="1" applyFont="1" applyFill="1" applyBorder="1" applyAlignment="1">
      <alignment vertical="center" wrapText="1"/>
    </xf>
    <xf numFmtId="0" fontId="11" fillId="7" borderId="0" xfId="0" applyFont="1" applyFill="1" applyAlignment="1">
      <alignment vertical="center" wrapText="1"/>
    </xf>
    <xf numFmtId="171" fontId="11" fillId="7" borderId="0" xfId="2" applyNumberFormat="1" applyFont="1" applyFill="1" applyBorder="1" applyAlignment="1">
      <alignment vertical="center" wrapText="1"/>
    </xf>
    <xf numFmtId="0" fontId="11" fillId="9" borderId="0" xfId="0" applyFont="1" applyFill="1" applyAlignment="1">
      <alignment vertical="center" wrapText="1"/>
    </xf>
    <xf numFmtId="171" fontId="11" fillId="9" borderId="0" xfId="2" applyNumberFormat="1" applyFont="1" applyFill="1" applyBorder="1" applyAlignment="1">
      <alignment vertical="center" wrapText="1"/>
    </xf>
    <xf numFmtId="0" fontId="11" fillId="10" borderId="0" xfId="0" applyFont="1" applyFill="1" applyAlignment="1">
      <alignment vertical="center" wrapText="1"/>
    </xf>
    <xf numFmtId="170" fontId="11" fillId="10" borderId="0" xfId="2" applyNumberFormat="1" applyFont="1" applyFill="1" applyBorder="1" applyAlignment="1">
      <alignment vertical="center" wrapText="1"/>
    </xf>
    <xf numFmtId="170" fontId="11" fillId="0" borderId="0" xfId="2" applyNumberFormat="1" applyFont="1" applyFill="1" applyBorder="1" applyAlignment="1">
      <alignment vertical="center" wrapText="1"/>
    </xf>
    <xf numFmtId="0" fontId="11" fillId="8" borderId="0" xfId="0" applyFont="1" applyFill="1" applyAlignment="1">
      <alignment vertical="center" wrapText="1"/>
    </xf>
    <xf numFmtId="170" fontId="11" fillId="8" borderId="0" xfId="2" applyNumberFormat="1" applyFont="1" applyFill="1" applyBorder="1" applyAlignment="1">
      <alignment vertical="center" wrapText="1"/>
    </xf>
    <xf numFmtId="0" fontId="12" fillId="0" borderId="0" xfId="0" applyFont="1" applyAlignment="1">
      <alignment vertical="center" wrapText="1"/>
    </xf>
    <xf numFmtId="170" fontId="9" fillId="0" borderId="0" xfId="2" applyNumberFormat="1" applyFont="1" applyFill="1" applyBorder="1" applyAlignment="1">
      <alignment vertical="center"/>
    </xf>
    <xf numFmtId="0" fontId="8" fillId="0" borderId="0" xfId="0" applyFont="1" applyAlignment="1">
      <alignment vertical="center"/>
    </xf>
    <xf numFmtId="44" fontId="9" fillId="0" borderId="0" xfId="2" applyFont="1" applyBorder="1" applyAlignment="1">
      <alignment horizontal="right" vertical="center"/>
    </xf>
    <xf numFmtId="170" fontId="9" fillId="0" borderId="0" xfId="2" applyNumberFormat="1" applyFont="1" applyFill="1" applyBorder="1" applyAlignment="1">
      <alignment vertical="center" wrapText="1"/>
    </xf>
    <xf numFmtId="44" fontId="8" fillId="0" borderId="7" xfId="0" applyNumberFormat="1" applyFont="1" applyBorder="1" applyAlignment="1">
      <alignment vertical="center"/>
    </xf>
    <xf numFmtId="44" fontId="9" fillId="0" borderId="0" xfId="2" applyFont="1" applyAlignment="1">
      <alignment horizontal="right" vertical="center"/>
    </xf>
    <xf numFmtId="9" fontId="9" fillId="0" borderId="0" xfId="3" applyFont="1" applyAlignment="1">
      <alignment horizontal="right" vertical="center"/>
    </xf>
    <xf numFmtId="0" fontId="0" fillId="14" borderId="0" xfId="0" applyFill="1"/>
    <xf numFmtId="0" fontId="4" fillId="14" borderId="0" xfId="0" applyFont="1" applyFill="1" applyAlignment="1">
      <alignment horizontal="left" vertical="center" indent="2"/>
    </xf>
    <xf numFmtId="164" fontId="13" fillId="2"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14" fillId="3" borderId="1" xfId="0" applyFont="1" applyFill="1" applyBorder="1" applyAlignment="1">
      <alignment vertical="center"/>
    </xf>
    <xf numFmtId="164" fontId="9" fillId="3" borderId="1" xfId="0" applyNumberFormat="1" applyFont="1" applyFill="1" applyBorder="1" applyAlignment="1">
      <alignment horizontal="center" vertical="center" wrapText="1"/>
    </xf>
    <xf numFmtId="1" fontId="9" fillId="16" borderId="1" xfId="2" applyNumberFormat="1" applyFont="1" applyFill="1" applyBorder="1" applyAlignment="1">
      <alignment vertical="center" wrapText="1"/>
    </xf>
    <xf numFmtId="165" fontId="9" fillId="5" borderId="1" xfId="1" applyNumberFormat="1" applyFont="1" applyFill="1" applyBorder="1" applyAlignment="1">
      <alignment horizontal="right" vertical="center" wrapText="1"/>
    </xf>
    <xf numFmtId="169" fontId="9" fillId="5" borderId="1" xfId="3" applyNumberFormat="1" applyFont="1" applyFill="1" applyBorder="1" applyAlignment="1">
      <alignment horizontal="right" vertical="center" wrapText="1"/>
    </xf>
    <xf numFmtId="43" fontId="8" fillId="5" borderId="1" xfId="1" applyFont="1" applyFill="1" applyBorder="1" applyAlignment="1">
      <alignment vertical="center" wrapText="1"/>
    </xf>
    <xf numFmtId="165" fontId="9" fillId="6" borderId="1" xfId="1" applyNumberFormat="1" applyFont="1" applyFill="1" applyBorder="1" applyAlignment="1">
      <alignment vertical="center" wrapText="1"/>
    </xf>
    <xf numFmtId="169" fontId="9" fillId="6" borderId="1" xfId="3" applyNumberFormat="1" applyFont="1" applyFill="1" applyBorder="1" applyAlignment="1">
      <alignment vertical="center" wrapText="1"/>
    </xf>
    <xf numFmtId="43" fontId="8" fillId="6" borderId="1" xfId="1" applyFont="1" applyFill="1" applyBorder="1" applyAlignment="1">
      <alignment vertical="center" wrapText="1"/>
    </xf>
    <xf numFmtId="3" fontId="9" fillId="7" borderId="1" xfId="5" applyFont="1" applyFill="1" applyBorder="1" applyAlignment="1">
      <alignment vertical="center" wrapText="1"/>
    </xf>
    <xf numFmtId="169" fontId="9" fillId="7" borderId="1" xfId="3" applyNumberFormat="1" applyFont="1" applyFill="1" applyBorder="1" applyAlignment="1">
      <alignment vertical="center" wrapText="1"/>
    </xf>
    <xf numFmtId="43" fontId="8" fillId="7" borderId="1" xfId="1" applyFont="1" applyFill="1" applyBorder="1" applyAlignment="1">
      <alignment vertical="center" wrapText="1"/>
    </xf>
    <xf numFmtId="165" fontId="9" fillId="9" borderId="1" xfId="1" applyNumberFormat="1" applyFont="1" applyFill="1" applyBorder="1" applyAlignment="1">
      <alignment vertical="center" wrapText="1"/>
    </xf>
    <xf numFmtId="169" fontId="9" fillId="9" borderId="1" xfId="3" applyNumberFormat="1" applyFont="1" applyFill="1" applyBorder="1" applyAlignment="1">
      <alignment vertical="center" wrapText="1"/>
    </xf>
    <xf numFmtId="43" fontId="8" fillId="9" borderId="1" xfId="1" applyFont="1" applyFill="1" applyBorder="1" applyAlignment="1">
      <alignment vertical="center" wrapText="1"/>
    </xf>
    <xf numFmtId="2" fontId="8" fillId="10" borderId="1" xfId="3" applyNumberFormat="1" applyFont="1" applyFill="1" applyBorder="1" applyAlignment="1">
      <alignment vertical="center" wrapText="1"/>
    </xf>
    <xf numFmtId="2" fontId="8" fillId="8" borderId="1" xfId="2" applyNumberFormat="1" applyFont="1" applyFill="1" applyBorder="1" applyAlignment="1">
      <alignment vertical="center" wrapText="1"/>
    </xf>
    <xf numFmtId="43" fontId="9" fillId="16" borderId="1" xfId="0" applyNumberFormat="1" applyFont="1" applyFill="1" applyBorder="1" applyAlignment="1">
      <alignment vertical="center" wrapText="1"/>
    </xf>
    <xf numFmtId="43" fontId="9" fillId="16" borderId="1" xfId="0" applyNumberFormat="1" applyFont="1" applyFill="1" applyBorder="1" applyAlignment="1">
      <alignment vertical="center"/>
    </xf>
    <xf numFmtId="4" fontId="9" fillId="11" borderId="1" xfId="2" applyNumberFormat="1" applyFont="1" applyFill="1" applyBorder="1" applyAlignment="1">
      <alignment vertical="center" wrapText="1"/>
    </xf>
    <xf numFmtId="10" fontId="9" fillId="11" borderId="1" xfId="3" applyNumberFormat="1" applyFont="1" applyFill="1" applyBorder="1" applyAlignment="1">
      <alignment vertical="center" wrapText="1"/>
    </xf>
    <xf numFmtId="0" fontId="9" fillId="11" borderId="1" xfId="2" applyNumberFormat="1" applyFont="1" applyFill="1" applyBorder="1" applyAlignment="1">
      <alignment vertical="center" wrapText="1"/>
    </xf>
    <xf numFmtId="4" fontId="9" fillId="12" borderId="1" xfId="3" applyNumberFormat="1" applyFont="1" applyFill="1" applyBorder="1" applyAlignment="1">
      <alignment vertical="center"/>
    </xf>
    <xf numFmtId="4" fontId="15" fillId="22" borderId="1" xfId="3" applyNumberFormat="1" applyFont="1" applyFill="1" applyBorder="1" applyAlignment="1">
      <alignment vertical="center"/>
    </xf>
    <xf numFmtId="43" fontId="15" fillId="22" borderId="1" xfId="0" applyNumberFormat="1" applyFont="1" applyFill="1" applyBorder="1" applyAlignment="1">
      <alignment vertical="center"/>
    </xf>
    <xf numFmtId="43" fontId="8" fillId="22" borderId="1" xfId="0" applyNumberFormat="1" applyFont="1" applyFill="1" applyBorder="1" applyAlignment="1">
      <alignment vertical="center"/>
    </xf>
    <xf numFmtId="4" fontId="15" fillId="4" borderId="1" xfId="3" applyNumberFormat="1" applyFont="1" applyFill="1" applyBorder="1" applyAlignment="1">
      <alignment vertical="center"/>
    </xf>
    <xf numFmtId="43" fontId="15" fillId="4" borderId="1" xfId="0" applyNumberFormat="1" applyFont="1" applyFill="1" applyBorder="1" applyAlignment="1">
      <alignment vertical="center"/>
    </xf>
    <xf numFmtId="4" fontId="8" fillId="4" borderId="1" xfId="3" applyNumberFormat="1" applyFont="1" applyFill="1" applyBorder="1" applyAlignment="1">
      <alignment vertical="center"/>
    </xf>
    <xf numFmtId="4" fontId="15" fillId="21" borderId="1" xfId="3" applyNumberFormat="1" applyFont="1" applyFill="1" applyBorder="1" applyAlignment="1">
      <alignment vertical="center"/>
    </xf>
    <xf numFmtId="43" fontId="15" fillId="21" borderId="1" xfId="0" applyNumberFormat="1" applyFont="1" applyFill="1" applyBorder="1" applyAlignment="1">
      <alignment vertical="center"/>
    </xf>
    <xf numFmtId="4" fontId="8" fillId="21" borderId="1" xfId="3" applyNumberFormat="1" applyFont="1" applyFill="1" applyBorder="1" applyAlignment="1">
      <alignment vertical="center"/>
    </xf>
    <xf numFmtId="43" fontId="15" fillId="20" borderId="1" xfId="0" applyNumberFormat="1" applyFont="1" applyFill="1" applyBorder="1" applyAlignment="1">
      <alignment vertical="center"/>
    </xf>
    <xf numFmtId="43" fontId="8" fillId="20" borderId="1" xfId="0" applyNumberFormat="1" applyFont="1" applyFill="1" applyBorder="1" applyAlignment="1">
      <alignment vertical="center"/>
    </xf>
    <xf numFmtId="4" fontId="9" fillId="20" borderId="1" xfId="3" applyNumberFormat="1" applyFont="1" applyFill="1" applyBorder="1" applyAlignment="1">
      <alignment vertical="center"/>
    </xf>
    <xf numFmtId="9" fontId="9" fillId="20" borderId="1" xfId="3" applyFont="1" applyFill="1" applyBorder="1" applyAlignment="1">
      <alignment vertical="center"/>
    </xf>
    <xf numFmtId="10" fontId="9" fillId="20" borderId="1" xfId="3" applyNumberFormat="1" applyFont="1" applyFill="1" applyBorder="1" applyAlignment="1">
      <alignment vertical="center" wrapText="1"/>
    </xf>
    <xf numFmtId="0" fontId="9" fillId="20" borderId="1" xfId="3" applyNumberFormat="1" applyFont="1" applyFill="1" applyBorder="1" applyAlignment="1">
      <alignment vertical="center"/>
    </xf>
    <xf numFmtId="172" fontId="9" fillId="4" borderId="1" xfId="3" applyNumberFormat="1" applyFont="1" applyFill="1" applyBorder="1" applyAlignment="1">
      <alignment vertical="center"/>
    </xf>
    <xf numFmtId="172" fontId="9" fillId="4" borderId="1" xfId="1" quotePrefix="1" applyNumberFormat="1" applyFont="1" applyFill="1" applyBorder="1" applyAlignment="1">
      <alignment vertical="center"/>
    </xf>
    <xf numFmtId="165" fontId="11" fillId="14" borderId="1" xfId="1" applyNumberFormat="1" applyFont="1" applyFill="1" applyBorder="1" applyAlignment="1">
      <alignment vertical="center"/>
    </xf>
    <xf numFmtId="4" fontId="9" fillId="0" borderId="1" xfId="3" applyNumberFormat="1" applyFont="1" applyFill="1" applyBorder="1" applyAlignment="1">
      <alignment horizontal="right" vertical="center"/>
    </xf>
    <xf numFmtId="0" fontId="9" fillId="18" borderId="1" xfId="0" applyFont="1" applyFill="1" applyBorder="1" applyAlignment="1">
      <alignment vertical="center" wrapText="1"/>
    </xf>
    <xf numFmtId="0" fontId="9" fillId="14" borderId="1" xfId="0" applyFont="1" applyFill="1" applyBorder="1" applyAlignment="1">
      <alignment vertical="center" wrapText="1"/>
    </xf>
    <xf numFmtId="0" fontId="9" fillId="14" borderId="1" xfId="0" applyFont="1" applyFill="1" applyBorder="1" applyAlignment="1">
      <alignment vertical="center"/>
    </xf>
    <xf numFmtId="164" fontId="9" fillId="14" borderId="1" xfId="0" applyNumberFormat="1" applyFont="1" applyFill="1" applyBorder="1" applyAlignment="1">
      <alignment horizontal="center" vertical="center" wrapText="1"/>
    </xf>
    <xf numFmtId="4" fontId="15" fillId="12" borderId="1" xfId="3" applyNumberFormat="1" applyFont="1" applyFill="1" applyBorder="1" applyAlignment="1">
      <alignment vertical="center"/>
    </xf>
    <xf numFmtId="0" fontId="9" fillId="3" borderId="1" xfId="0" applyFont="1" applyFill="1" applyBorder="1" applyAlignment="1">
      <alignment vertical="center"/>
    </xf>
    <xf numFmtId="0" fontId="9" fillId="19" borderId="1" xfId="0" applyFont="1" applyFill="1" applyBorder="1" applyAlignment="1">
      <alignment vertical="center" wrapText="1"/>
    </xf>
    <xf numFmtId="4" fontId="9" fillId="12" borderId="1" xfId="3" applyNumberFormat="1" applyFont="1" applyFill="1" applyBorder="1" applyAlignment="1">
      <alignment vertical="center" wrapText="1"/>
    </xf>
    <xf numFmtId="4" fontId="9" fillId="20" borderId="1" xfId="3" applyNumberFormat="1" applyFont="1" applyFill="1" applyBorder="1" applyAlignment="1">
      <alignment vertical="center" wrapText="1"/>
    </xf>
    <xf numFmtId="3" fontId="9" fillId="14" borderId="1" xfId="5" applyFont="1" applyFill="1" applyBorder="1" applyAlignment="1">
      <alignment vertical="center" wrapText="1"/>
    </xf>
    <xf numFmtId="0" fontId="16" fillId="18" borderId="1" xfId="0" applyFont="1" applyFill="1" applyBorder="1" applyAlignment="1">
      <alignment vertical="center" wrapText="1"/>
    </xf>
    <xf numFmtId="0" fontId="14" fillId="14" borderId="1" xfId="0" applyFont="1" applyFill="1" applyBorder="1" applyAlignment="1">
      <alignment vertical="center"/>
    </xf>
    <xf numFmtId="0" fontId="9" fillId="14" borderId="0" xfId="0" applyFont="1" applyFill="1" applyAlignment="1">
      <alignment vertical="center" wrapText="1"/>
    </xf>
    <xf numFmtId="0" fontId="9" fillId="14" borderId="0" xfId="0" applyFont="1" applyFill="1" applyAlignment="1">
      <alignment vertical="center"/>
    </xf>
    <xf numFmtId="0" fontId="9" fillId="14" borderId="1" xfId="0" applyFont="1" applyFill="1" applyBorder="1" applyAlignment="1">
      <alignment horizontal="center" vertical="center"/>
    </xf>
    <xf numFmtId="43" fontId="8" fillId="14" borderId="1" xfId="0" applyNumberFormat="1" applyFont="1" applyFill="1" applyBorder="1" applyAlignment="1">
      <alignment vertical="center" wrapText="1"/>
    </xf>
    <xf numFmtId="3" fontId="8" fillId="14" borderId="1" xfId="0" applyNumberFormat="1" applyFont="1" applyFill="1" applyBorder="1" applyAlignment="1">
      <alignment horizontal="right" vertical="center" wrapText="1"/>
    </xf>
    <xf numFmtId="169" fontId="8" fillId="14" borderId="1" xfId="0" applyNumberFormat="1" applyFont="1" applyFill="1" applyBorder="1" applyAlignment="1">
      <alignment horizontal="right" vertical="center" wrapText="1"/>
    </xf>
    <xf numFmtId="165" fontId="8" fillId="14" borderId="1" xfId="0" applyNumberFormat="1" applyFont="1" applyFill="1" applyBorder="1" applyAlignment="1">
      <alignment vertical="center" wrapText="1"/>
    </xf>
    <xf numFmtId="169" fontId="8" fillId="14" borderId="1" xfId="0" applyNumberFormat="1" applyFont="1" applyFill="1" applyBorder="1" applyAlignment="1">
      <alignment vertical="center" wrapText="1"/>
    </xf>
    <xf numFmtId="3" fontId="8" fillId="14" borderId="1" xfId="0" applyNumberFormat="1" applyFont="1" applyFill="1" applyBorder="1" applyAlignment="1">
      <alignment vertical="center" wrapText="1"/>
    </xf>
    <xf numFmtId="10" fontId="9" fillId="14" borderId="1" xfId="3" applyNumberFormat="1" applyFont="1" applyFill="1" applyBorder="1" applyAlignment="1">
      <alignment vertical="center" wrapText="1"/>
    </xf>
    <xf numFmtId="44" fontId="8" fillId="14" borderId="1" xfId="0" applyNumberFormat="1" applyFont="1" applyFill="1" applyBorder="1" applyAlignment="1">
      <alignment vertical="center" wrapText="1"/>
    </xf>
    <xf numFmtId="4" fontId="8" fillId="14" borderId="1" xfId="3" applyNumberFormat="1" applyFont="1" applyFill="1" applyBorder="1" applyAlignment="1">
      <alignment vertical="center"/>
    </xf>
    <xf numFmtId="4" fontId="8" fillId="22" borderId="1" xfId="3" applyNumberFormat="1" applyFont="1" applyFill="1" applyBorder="1" applyAlignment="1">
      <alignment vertical="center"/>
    </xf>
    <xf numFmtId="43" fontId="8" fillId="20" borderId="1" xfId="0" applyNumberFormat="1" applyFont="1" applyFill="1" applyBorder="1" applyAlignment="1">
      <alignment vertical="center" wrapText="1"/>
    </xf>
    <xf numFmtId="4" fontId="8" fillId="20" borderId="1" xfId="3" applyNumberFormat="1" applyFont="1" applyFill="1" applyBorder="1" applyAlignment="1">
      <alignment vertical="center"/>
    </xf>
    <xf numFmtId="9" fontId="8" fillId="20" borderId="1" xfId="0" applyNumberFormat="1" applyFont="1" applyFill="1" applyBorder="1" applyAlignment="1">
      <alignment vertical="center"/>
    </xf>
    <xf numFmtId="10" fontId="9" fillId="20" borderId="1" xfId="3" applyNumberFormat="1" applyFont="1" applyFill="1" applyBorder="1" applyAlignment="1">
      <alignment vertical="center"/>
    </xf>
    <xf numFmtId="172" fontId="8" fillId="4" borderId="1" xfId="3" applyNumberFormat="1" applyFont="1" applyFill="1" applyBorder="1" applyAlignment="1">
      <alignment vertical="center"/>
    </xf>
    <xf numFmtId="4" fontId="8" fillId="0" borderId="1" xfId="3" applyNumberFormat="1" applyFont="1" applyFill="1" applyBorder="1" applyAlignment="1">
      <alignment horizontal="right" vertical="center"/>
    </xf>
    <xf numFmtId="0" fontId="9" fillId="0" borderId="0" xfId="0" applyFont="1" applyAlignment="1">
      <alignment horizontal="center" vertical="center"/>
    </xf>
    <xf numFmtId="43" fontId="8" fillId="0" borderId="0" xfId="1" applyFont="1" applyAlignment="1">
      <alignment vertical="center"/>
    </xf>
    <xf numFmtId="4" fontId="9" fillId="0" borderId="0" xfId="0" applyNumberFormat="1" applyFont="1" applyAlignment="1">
      <alignment vertical="center"/>
    </xf>
    <xf numFmtId="0" fontId="8" fillId="14" borderId="0" xfId="0" applyFont="1" applyFill="1" applyAlignment="1">
      <alignment vertical="center"/>
    </xf>
    <xf numFmtId="172" fontId="9" fillId="0" borderId="0" xfId="0" applyNumberFormat="1" applyFont="1" applyAlignment="1">
      <alignment vertical="center" wrapText="1"/>
    </xf>
    <xf numFmtId="0" fontId="11" fillId="14" borderId="0" xfId="0" applyFont="1" applyFill="1" applyAlignment="1">
      <alignment vertical="center" wrapText="1"/>
    </xf>
    <xf numFmtId="0" fontId="13" fillId="2" borderId="1" xfId="0" applyFont="1" applyFill="1" applyBorder="1" applyAlignment="1">
      <alignment horizontal="center" vertical="center" wrapText="1"/>
    </xf>
    <xf numFmtId="1" fontId="8" fillId="16" borderId="1" xfId="2" applyNumberFormat="1" applyFont="1" applyFill="1" applyBorder="1" applyAlignment="1">
      <alignment horizontal="center" vertical="center" wrapText="1"/>
    </xf>
    <xf numFmtId="165" fontId="8" fillId="5" borderId="1" xfId="1" applyNumberFormat="1" applyFont="1" applyFill="1" applyBorder="1" applyAlignment="1">
      <alignment horizontal="center" vertical="center" wrapText="1"/>
    </xf>
    <xf numFmtId="166" fontId="8" fillId="5" borderId="1" xfId="3" applyNumberFormat="1" applyFont="1" applyFill="1" applyBorder="1" applyAlignment="1">
      <alignment horizontal="center" vertical="center" wrapText="1"/>
    </xf>
    <xf numFmtId="43" fontId="8" fillId="5" borderId="1" xfId="1" applyFont="1" applyFill="1" applyBorder="1" applyAlignment="1">
      <alignment horizontal="center" vertical="center" wrapText="1"/>
    </xf>
    <xf numFmtId="165" fontId="8" fillId="6" borderId="1" xfId="1" applyNumberFormat="1" applyFont="1" applyFill="1" applyBorder="1" applyAlignment="1">
      <alignment horizontal="center" vertical="center" wrapText="1"/>
    </xf>
    <xf numFmtId="167" fontId="8" fillId="6" borderId="1" xfId="3" applyNumberFormat="1" applyFont="1" applyFill="1" applyBorder="1" applyAlignment="1">
      <alignment horizontal="center" vertical="center" wrapText="1"/>
    </xf>
    <xf numFmtId="43" fontId="8" fillId="6" borderId="1" xfId="1" applyFont="1" applyFill="1" applyBorder="1" applyAlignment="1">
      <alignment horizontal="center" vertical="center" wrapText="1"/>
    </xf>
    <xf numFmtId="0" fontId="8" fillId="7" borderId="1" xfId="0" applyFont="1" applyFill="1" applyBorder="1" applyAlignment="1">
      <alignment horizontal="center" vertical="center" wrapText="1"/>
    </xf>
    <xf numFmtId="167" fontId="8" fillId="7" borderId="1" xfId="0" applyNumberFormat="1" applyFont="1" applyFill="1" applyBorder="1" applyAlignment="1">
      <alignment horizontal="center" vertical="center" wrapText="1"/>
    </xf>
    <xf numFmtId="43" fontId="8" fillId="7" borderId="1" xfId="1" applyFont="1" applyFill="1" applyBorder="1" applyAlignment="1">
      <alignment horizontal="center" vertical="center" wrapText="1"/>
    </xf>
    <xf numFmtId="165" fontId="8" fillId="9" borderId="1" xfId="1" applyNumberFormat="1" applyFont="1" applyFill="1" applyBorder="1" applyAlignment="1">
      <alignment horizontal="center" vertical="center" wrapText="1"/>
    </xf>
    <xf numFmtId="167" fontId="8" fillId="9" borderId="1" xfId="0" applyNumberFormat="1" applyFont="1" applyFill="1" applyBorder="1" applyAlignment="1">
      <alignment horizontal="center" vertical="center" wrapText="1"/>
    </xf>
    <xf numFmtId="43" fontId="8" fillId="9" borderId="1" xfId="1" applyFont="1" applyFill="1" applyBorder="1" applyAlignment="1">
      <alignment horizontal="center" vertical="center" wrapText="1"/>
    </xf>
    <xf numFmtId="168" fontId="8" fillId="10" borderId="1" xfId="3" applyNumberFormat="1" applyFont="1" applyFill="1" applyBorder="1" applyAlignment="1">
      <alignment horizontal="center" vertical="center" wrapText="1"/>
    </xf>
    <xf numFmtId="2" fontId="8" fillId="8" borderId="1" xfId="2" applyNumberFormat="1" applyFont="1" applyFill="1" applyBorder="1" applyAlignment="1">
      <alignment horizontal="center" vertical="center" wrapText="1"/>
    </xf>
    <xf numFmtId="0" fontId="8" fillId="16" borderId="1" xfId="0" applyFont="1" applyFill="1" applyBorder="1" applyAlignment="1">
      <alignment horizontal="center" vertical="center" wrapText="1"/>
    </xf>
    <xf numFmtId="4" fontId="8" fillId="11" borderId="1" xfId="2" applyNumberFormat="1" applyFont="1" applyFill="1" applyBorder="1" applyAlignment="1">
      <alignment horizontal="center" vertical="center" wrapText="1"/>
    </xf>
    <xf numFmtId="44" fontId="8" fillId="11" borderId="1" xfId="2" applyFont="1" applyFill="1" applyBorder="1" applyAlignment="1">
      <alignment horizontal="center" vertical="center" wrapText="1"/>
    </xf>
    <xf numFmtId="4" fontId="8" fillId="12" borderId="1" xfId="0" applyNumberFormat="1" applyFont="1" applyFill="1" applyBorder="1" applyAlignment="1">
      <alignment horizontal="center" vertical="center" wrapText="1"/>
    </xf>
    <xf numFmtId="4" fontId="8" fillId="22" borderId="1" xfId="0" applyNumberFormat="1" applyFont="1" applyFill="1" applyBorder="1" applyAlignment="1">
      <alignment horizontal="center" vertical="center" wrapText="1"/>
    </xf>
    <xf numFmtId="4" fontId="8" fillId="4" borderId="1" xfId="0" applyNumberFormat="1" applyFont="1" applyFill="1" applyBorder="1" applyAlignment="1">
      <alignment horizontal="center" vertical="center" wrapText="1"/>
    </xf>
    <xf numFmtId="4" fontId="8" fillId="21" borderId="1" xfId="0" applyNumberFormat="1" applyFont="1" applyFill="1" applyBorder="1" applyAlignment="1">
      <alignment horizontal="center" vertical="center" wrapText="1"/>
    </xf>
    <xf numFmtId="0" fontId="8" fillId="20" borderId="1" xfId="0" applyFont="1" applyFill="1" applyBorder="1" applyAlignment="1">
      <alignment horizontal="center" vertical="center" wrapText="1"/>
    </xf>
    <xf numFmtId="4" fontId="8" fillId="20" borderId="1" xfId="0" applyNumberFormat="1" applyFont="1" applyFill="1" applyBorder="1" applyAlignment="1">
      <alignment horizontal="center" vertical="center" wrapText="1"/>
    </xf>
    <xf numFmtId="172" fontId="8" fillId="4" borderId="1" xfId="0" quotePrefix="1" applyNumberFormat="1" applyFont="1" applyFill="1" applyBorder="1" applyAlignment="1">
      <alignment horizontal="center" vertical="center" wrapText="1"/>
    </xf>
    <xf numFmtId="0" fontId="12" fillId="14" borderId="1" xfId="0" quotePrefix="1" applyFont="1" applyFill="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0" xfId="0" applyFont="1" applyAlignment="1">
      <alignment horizontal="center" vertical="center" wrapText="1"/>
    </xf>
    <xf numFmtId="0" fontId="13" fillId="2" borderId="1" xfId="0" applyFont="1" applyFill="1" applyBorder="1" applyAlignment="1">
      <alignment horizontal="left" vertical="center" wrapText="1"/>
    </xf>
    <xf numFmtId="44" fontId="8" fillId="23" borderId="15" xfId="1" applyNumberFormat="1" applyFont="1" applyFill="1" applyBorder="1" applyAlignment="1">
      <alignment horizontal="right" vertical="center" wrapText="1"/>
    </xf>
    <xf numFmtId="44" fontId="8" fillId="0" borderId="15" xfId="1" applyNumberFormat="1" applyFont="1" applyBorder="1" applyAlignment="1">
      <alignment horizontal="right" vertical="center" wrapText="1"/>
    </xf>
    <xf numFmtId="44" fontId="8" fillId="0" borderId="0" xfId="1" applyNumberFormat="1" applyFont="1" applyBorder="1" applyAlignment="1">
      <alignment horizontal="right" vertical="center" wrapText="1"/>
    </xf>
    <xf numFmtId="44" fontId="12" fillId="0" borderId="0" xfId="1" applyNumberFormat="1" applyFont="1" applyBorder="1" applyAlignment="1">
      <alignment horizontal="right" vertical="center" wrapText="1"/>
    </xf>
    <xf numFmtId="44" fontId="9" fillId="13" borderId="0" xfId="1" applyNumberFormat="1" applyFont="1" applyFill="1" applyBorder="1" applyAlignment="1">
      <alignment vertical="center" wrapText="1"/>
    </xf>
    <xf numFmtId="44" fontId="8" fillId="13" borderId="15" xfId="1" applyNumberFormat="1" applyFont="1" applyFill="1" applyBorder="1" applyAlignment="1">
      <alignment vertical="center" wrapText="1"/>
    </xf>
    <xf numFmtId="44" fontId="8" fillId="0" borderId="0" xfId="1" applyNumberFormat="1" applyFont="1" applyFill="1" applyBorder="1" applyAlignment="1">
      <alignment vertical="center" wrapText="1"/>
    </xf>
    <xf numFmtId="44" fontId="9" fillId="4" borderId="0" xfId="1" applyNumberFormat="1" applyFont="1" applyFill="1" applyBorder="1" applyAlignment="1">
      <alignment vertical="center" wrapText="1"/>
    </xf>
    <xf numFmtId="44" fontId="8" fillId="4" borderId="15" xfId="1" applyNumberFormat="1" applyFont="1" applyFill="1" applyBorder="1" applyAlignment="1">
      <alignment vertical="center" wrapText="1"/>
    </xf>
    <xf numFmtId="44" fontId="12" fillId="23" borderId="22" xfId="1" applyNumberFormat="1" applyFont="1" applyFill="1" applyBorder="1" applyAlignment="1">
      <alignment vertical="center" wrapText="1"/>
    </xf>
    <xf numFmtId="44" fontId="8" fillId="0" borderId="16" xfId="1" applyNumberFormat="1" applyFont="1" applyBorder="1" applyAlignment="1">
      <alignment horizontal="right" vertical="center" wrapText="1"/>
    </xf>
    <xf numFmtId="44" fontId="12" fillId="0" borderId="0" xfId="2" applyFont="1" applyBorder="1" applyAlignment="1">
      <alignment horizontal="right" vertical="center" wrapText="1"/>
    </xf>
    <xf numFmtId="44" fontId="11" fillId="0" borderId="16" xfId="2" applyFont="1" applyBorder="1" applyAlignment="1">
      <alignment horizontal="right" vertical="center" wrapText="1"/>
    </xf>
    <xf numFmtId="44" fontId="11" fillId="5" borderId="0" xfId="1" applyNumberFormat="1" applyFont="1" applyFill="1" applyBorder="1" applyAlignment="1">
      <alignment horizontal="right" vertical="center" wrapText="1"/>
    </xf>
    <xf numFmtId="44" fontId="11" fillId="6" borderId="0" xfId="1" applyNumberFormat="1" applyFont="1" applyFill="1" applyBorder="1" applyAlignment="1">
      <alignment horizontal="right" vertical="center" wrapText="1"/>
    </xf>
    <xf numFmtId="44" fontId="11" fillId="7" borderId="0" xfId="1" applyNumberFormat="1" applyFont="1" applyFill="1" applyBorder="1" applyAlignment="1">
      <alignment horizontal="right" vertical="center" wrapText="1"/>
    </xf>
    <xf numFmtId="44" fontId="11" fillId="15" borderId="0" xfId="1" applyNumberFormat="1" applyFont="1" applyFill="1" applyBorder="1" applyAlignment="1">
      <alignment horizontal="right" vertical="center" wrapText="1"/>
    </xf>
    <xf numFmtId="44" fontId="11" fillId="10" borderId="0" xfId="1" applyNumberFormat="1" applyFont="1" applyFill="1" applyBorder="1" applyAlignment="1">
      <alignment horizontal="right" vertical="center" wrapText="1"/>
    </xf>
    <xf numFmtId="44" fontId="11" fillId="8" borderId="0" xfId="1" applyNumberFormat="1" applyFont="1" applyFill="1" applyBorder="1" applyAlignment="1">
      <alignment horizontal="right" vertical="center" wrapText="1"/>
    </xf>
    <xf numFmtId="44" fontId="8" fillId="0" borderId="3" xfId="0" applyNumberFormat="1" applyFont="1" applyBorder="1" applyAlignment="1">
      <alignment vertical="center" wrapText="1"/>
    </xf>
    <xf numFmtId="44" fontId="10" fillId="8" borderId="0" xfId="0" applyNumberFormat="1" applyFont="1" applyFill="1" applyAlignment="1">
      <alignment horizontal="right" vertical="center" wrapText="1"/>
    </xf>
    <xf numFmtId="44" fontId="10" fillId="10" borderId="0" xfId="0" applyNumberFormat="1" applyFont="1" applyFill="1" applyAlignment="1">
      <alignment horizontal="right" vertical="center" wrapText="1"/>
    </xf>
    <xf numFmtId="44" fontId="10" fillId="17" borderId="0" xfId="0" applyNumberFormat="1" applyFont="1" applyFill="1" applyAlignment="1">
      <alignment horizontal="right" vertical="center" wrapText="1"/>
    </xf>
    <xf numFmtId="44" fontId="9" fillId="5" borderId="25" xfId="2" applyFont="1" applyFill="1" applyBorder="1" applyAlignment="1">
      <alignment vertical="center"/>
    </xf>
    <xf numFmtId="44" fontId="9" fillId="6" borderId="25" xfId="2" applyFont="1" applyFill="1" applyBorder="1" applyAlignment="1">
      <alignment vertical="center"/>
    </xf>
    <xf numFmtId="44" fontId="9" fillId="7" borderId="25" xfId="2" applyFont="1" applyFill="1" applyBorder="1" applyAlignment="1">
      <alignment vertical="center"/>
    </xf>
    <xf numFmtId="44" fontId="9" fillId="9" borderId="25" xfId="2" applyFont="1" applyFill="1" applyBorder="1" applyAlignment="1">
      <alignment vertical="center"/>
    </xf>
    <xf numFmtId="44" fontId="11" fillId="5" borderId="24" xfId="1" applyNumberFormat="1" applyFont="1" applyFill="1" applyBorder="1" applyAlignment="1">
      <alignment vertical="center" wrapText="1"/>
    </xf>
    <xf numFmtId="44" fontId="11" fillId="6" borderId="24" xfId="1" applyNumberFormat="1" applyFont="1" applyFill="1" applyBorder="1" applyAlignment="1">
      <alignment vertical="center" wrapText="1"/>
    </xf>
    <xf numFmtId="44" fontId="11" fillId="7" borderId="24" xfId="1" applyNumberFormat="1" applyFont="1" applyFill="1" applyBorder="1" applyAlignment="1">
      <alignment vertical="center" wrapText="1"/>
    </xf>
    <xf numFmtId="44" fontId="11" fillId="9" borderId="24" xfId="1" applyNumberFormat="1" applyFont="1" applyFill="1" applyBorder="1" applyAlignment="1">
      <alignment vertical="center" wrapText="1"/>
    </xf>
    <xf numFmtId="44" fontId="11" fillId="10" borderId="24" xfId="1" applyNumberFormat="1" applyFont="1" applyFill="1" applyBorder="1" applyAlignment="1">
      <alignment horizontal="right" vertical="center" wrapText="1"/>
    </xf>
    <xf numFmtId="44" fontId="11" fillId="10" borderId="25" xfId="2" applyFont="1" applyFill="1" applyBorder="1" applyAlignment="1">
      <alignment vertical="center" wrapText="1"/>
    </xf>
    <xf numFmtId="44" fontId="11" fillId="8" borderId="26" xfId="1" applyNumberFormat="1" applyFont="1" applyFill="1" applyBorder="1" applyAlignment="1">
      <alignment horizontal="right" vertical="center" wrapText="1"/>
    </xf>
    <xf numFmtId="44" fontId="11" fillId="8" borderId="27" xfId="2" applyFont="1" applyFill="1" applyBorder="1" applyAlignment="1">
      <alignment vertical="center" wrapText="1"/>
    </xf>
    <xf numFmtId="44" fontId="9" fillId="0" borderId="0" xfId="2" applyFont="1" applyAlignment="1">
      <alignment vertical="center"/>
    </xf>
    <xf numFmtId="0" fontId="5" fillId="25" borderId="2" xfId="0" applyFont="1" applyFill="1" applyBorder="1" applyAlignment="1">
      <alignment vertical="center"/>
    </xf>
    <xf numFmtId="0" fontId="2" fillId="25" borderId="15" xfId="0" applyFont="1" applyFill="1" applyBorder="1"/>
    <xf numFmtId="0" fontId="2" fillId="25" borderId="3" xfId="0" applyFont="1" applyFill="1" applyBorder="1"/>
    <xf numFmtId="0" fontId="5" fillId="25" borderId="4" xfId="0" applyFont="1" applyFill="1" applyBorder="1" applyAlignment="1">
      <alignment horizontal="left" vertical="center" indent="5"/>
    </xf>
    <xf numFmtId="0" fontId="2" fillId="25" borderId="0" xfId="0" applyFont="1" applyFill="1"/>
    <xf numFmtId="0" fontId="2" fillId="25" borderId="5" xfId="0" applyFont="1" applyFill="1" applyBorder="1"/>
    <xf numFmtId="0" fontId="5" fillId="25" borderId="4" xfId="0" applyFont="1" applyFill="1" applyBorder="1" applyAlignment="1">
      <alignment vertical="center"/>
    </xf>
    <xf numFmtId="0" fontId="5" fillId="25" borderId="6" xfId="0" applyFont="1" applyFill="1" applyBorder="1" applyAlignment="1">
      <alignment horizontal="left" vertical="center" indent="2"/>
    </xf>
    <xf numFmtId="0" fontId="2" fillId="25" borderId="16" xfId="0" applyFont="1" applyFill="1" applyBorder="1"/>
    <xf numFmtId="0" fontId="2" fillId="25" borderId="7" xfId="0" applyFont="1" applyFill="1" applyBorder="1"/>
    <xf numFmtId="5" fontId="11" fillId="14" borderId="1" xfId="1" applyNumberFormat="1" applyFont="1" applyFill="1" applyBorder="1" applyAlignment="1">
      <alignment vertical="center"/>
    </xf>
    <xf numFmtId="5" fontId="11" fillId="24" borderId="1" xfId="1" applyNumberFormat="1" applyFont="1" applyFill="1" applyBorder="1" applyAlignment="1">
      <alignment vertical="center"/>
    </xf>
    <xf numFmtId="0" fontId="8" fillId="13" borderId="8" xfId="0" applyFont="1" applyFill="1" applyBorder="1" applyAlignment="1">
      <alignment vertical="center"/>
    </xf>
    <xf numFmtId="0" fontId="8" fillId="13" borderId="9" xfId="0" applyFont="1" applyFill="1" applyBorder="1" applyAlignment="1">
      <alignment vertical="center"/>
    </xf>
    <xf numFmtId="0" fontId="8" fillId="13" borderId="10" xfId="0" applyFont="1" applyFill="1" applyBorder="1" applyAlignment="1">
      <alignment vertical="center"/>
    </xf>
    <xf numFmtId="0" fontId="5" fillId="6" borderId="1" xfId="0" applyFont="1" applyFill="1" applyBorder="1" applyAlignment="1">
      <alignment horizontal="center" vertical="center"/>
    </xf>
    <xf numFmtId="0" fontId="5" fillId="15" borderId="1"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43" fontId="20" fillId="20" borderId="1" xfId="0" applyNumberFormat="1" applyFont="1" applyFill="1" applyBorder="1" applyAlignment="1">
      <alignment vertical="center"/>
    </xf>
  </cellXfs>
  <cellStyles count="6">
    <cellStyle name="Comma" xfId="1" builtinId="3"/>
    <cellStyle name="Currency" xfId="2" builtinId="4"/>
    <cellStyle name="Normal" xfId="0" builtinId="0"/>
    <cellStyle name="Percent" xfId="3" builtinId="5"/>
    <cellStyle name="sInteger" xfId="5" xr:uid="{B83B760F-BF78-4D3D-A897-60E7546E0B32}"/>
    <cellStyle name="sText" xfId="4" xr:uid="{BD5FC577-113F-4FE8-856F-3BCD9CEF223F}"/>
  </cellStyles>
  <dxfs count="14">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1F7ED"/>
      <color rgb="FFFEC5BA"/>
      <color rgb="FF009999"/>
      <color rgb="FF0000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Percent of Public Fees by Pop Served Group</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F43-4ABC-A9AF-DE77FAAFC62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F43-4ABC-A9AF-DE77FAAFC62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F43-4ABC-A9AF-DE77FAAFC62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0F43-4ABC-A9AF-DE77FAAFC62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'Fee Model FY25-FY29'!$AW$1:$AZ$1</c:f>
              <c:strCache>
                <c:ptCount val="4"/>
                <c:pt idx="0">
                  <c:v>Less than 2K</c:v>
                </c:pt>
                <c:pt idx="1">
                  <c:v>2K -4K</c:v>
                </c:pt>
                <c:pt idx="2">
                  <c:v>4K - 10K</c:v>
                </c:pt>
                <c:pt idx="3">
                  <c:v>10K+</c:v>
                </c:pt>
              </c:strCache>
            </c:strRef>
          </c:cat>
          <c:val>
            <c:numRef>
              <c:f>'Fee Model FY25-FY29'!$AW$98:$AZ$98</c:f>
              <c:numCache>
                <c:formatCode>#,##0.00</c:formatCode>
                <c:ptCount val="4"/>
                <c:pt idx="0">
                  <c:v>127346.07</c:v>
                </c:pt>
                <c:pt idx="1">
                  <c:v>128590.06000000001</c:v>
                </c:pt>
                <c:pt idx="2">
                  <c:v>194174.25</c:v>
                </c:pt>
                <c:pt idx="3">
                  <c:v>612283.4800000001</c:v>
                </c:pt>
              </c:numCache>
            </c:numRef>
          </c:val>
          <c:extLst>
            <c:ext xmlns:c16="http://schemas.microsoft.com/office/drawing/2014/chart" uri="{C3380CC4-5D6E-409C-BE32-E72D297353CC}">
              <c16:uniqueId val="{00000000-381B-409D-9853-86CAF9CF4216}"/>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26</xdr:col>
      <xdr:colOff>528640</xdr:colOff>
      <xdr:row>99</xdr:row>
      <xdr:rowOff>4761</xdr:rowOff>
    </xdr:from>
    <xdr:to>
      <xdr:col>34</xdr:col>
      <xdr:colOff>195603</xdr:colOff>
      <xdr:row>118</xdr:row>
      <xdr:rowOff>104774</xdr:rowOff>
    </xdr:to>
    <xdr:graphicFrame macro="">
      <xdr:nvGraphicFramePr>
        <xdr:cNvPr id="5" name="Chart 4">
          <a:extLst>
            <a:ext uri="{FF2B5EF4-FFF2-40B4-BE49-F238E27FC236}">
              <a16:creationId xmlns:a16="http://schemas.microsoft.com/office/drawing/2014/main" id="{80FF7C05-EA88-EE62-DF55-887DC8163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17B84-A72E-41F4-B53A-CE4E191BC655}">
  <dimension ref="A1:N35"/>
  <sheetViews>
    <sheetView zoomScaleNormal="100" workbookViewId="0">
      <selection activeCell="E7" sqref="E7:N15"/>
    </sheetView>
  </sheetViews>
  <sheetFormatPr defaultColWidth="9.140625" defaultRowHeight="15" x14ac:dyDescent="0.25"/>
  <cols>
    <col min="1" max="1" width="24.28515625" style="33" customWidth="1"/>
    <col min="2" max="2" width="16.28515625" style="99" customWidth="1"/>
    <col min="3" max="3" width="13.42578125" style="78" customWidth="1"/>
    <col min="4" max="4" width="9.42578125" style="78" customWidth="1"/>
    <col min="5" max="5" width="18" style="78" customWidth="1"/>
    <col min="6" max="6" width="17" style="78" customWidth="1"/>
    <col min="7" max="7" width="22.140625" style="78" customWidth="1"/>
    <col min="8" max="8" width="24.42578125" style="42" customWidth="1"/>
    <col min="9" max="9" width="14.42578125" style="70" customWidth="1"/>
    <col min="10" max="10" width="12.7109375" style="42" customWidth="1"/>
    <col min="11" max="16384" width="9.140625" style="42"/>
  </cols>
  <sheetData>
    <row r="1" spans="1:14" s="33" customFormat="1" ht="45" x14ac:dyDescent="0.25">
      <c r="A1" s="29" t="s">
        <v>0</v>
      </c>
      <c r="B1" s="214">
        <v>2178276</v>
      </c>
      <c r="C1" s="30">
        <f>B1/$B$1</f>
        <v>1</v>
      </c>
      <c r="D1" s="31"/>
      <c r="E1" s="32" t="s">
        <v>1</v>
      </c>
      <c r="F1" s="234">
        <v>2000</v>
      </c>
    </row>
    <row r="2" spans="1:14" s="33" customFormat="1" x14ac:dyDescent="0.25">
      <c r="A2" s="34" t="s">
        <v>220</v>
      </c>
      <c r="B2" s="215">
        <v>14000</v>
      </c>
      <c r="C2" s="35">
        <f t="shared" ref="C2:C14" si="0">B2/$B$1</f>
        <v>6.4271010652460934E-3</v>
      </c>
      <c r="D2" s="31"/>
      <c r="E2" s="36" t="s">
        <v>3</v>
      </c>
      <c r="F2" s="235">
        <v>1000</v>
      </c>
    </row>
    <row r="3" spans="1:14" s="33" customFormat="1" x14ac:dyDescent="0.25">
      <c r="A3" s="37" t="s">
        <v>224</v>
      </c>
      <c r="B3" s="216">
        <f>B1-B2</f>
        <v>2164276</v>
      </c>
      <c r="C3" s="38">
        <f t="shared" si="0"/>
        <v>0.99357289893475387</v>
      </c>
      <c r="D3" s="31"/>
      <c r="E3" s="39" t="s">
        <v>316</v>
      </c>
      <c r="F3" s="236">
        <v>3200</v>
      </c>
    </row>
    <row r="4" spans="1:14" s="33" customFormat="1" ht="30" x14ac:dyDescent="0.25">
      <c r="A4" s="40" t="s">
        <v>4</v>
      </c>
      <c r="B4" s="217">
        <f>B3-B14</f>
        <v>1364276</v>
      </c>
      <c r="C4" s="38">
        <f t="shared" si="0"/>
        <v>0.62630998092069146</v>
      </c>
      <c r="D4" s="31"/>
      <c r="E4" s="41" t="s">
        <v>322</v>
      </c>
      <c r="F4" s="42">
        <f>COUNTIF('Fee Model FY25-FY29'!AM2:AM97,F3)</f>
        <v>16</v>
      </c>
    </row>
    <row r="5" spans="1:14" s="33" customFormat="1" ht="45" x14ac:dyDescent="0.25">
      <c r="A5" s="43" t="s">
        <v>319</v>
      </c>
      <c r="B5" s="218">
        <f>B7-B6</f>
        <v>1091420.8</v>
      </c>
      <c r="C5" s="44">
        <f t="shared" si="0"/>
        <v>0.5010479847365531</v>
      </c>
      <c r="D5" s="45"/>
      <c r="E5" s="46" t="s">
        <v>342</v>
      </c>
      <c r="F5" s="47">
        <f>COUNT('Fee Model FY25-FY29'!AU2:AU97)</f>
        <v>14</v>
      </c>
      <c r="G5" s="48"/>
    </row>
    <row r="6" spans="1:14" s="33" customFormat="1" x14ac:dyDescent="0.25">
      <c r="A6" s="43" t="s">
        <v>318</v>
      </c>
      <c r="B6" s="218">
        <f>B14*0.55</f>
        <v>440000.00000000006</v>
      </c>
      <c r="C6" s="44">
        <f t="shared" si="0"/>
        <v>0.20199460490773441</v>
      </c>
      <c r="D6" s="45"/>
      <c r="E6" s="49"/>
      <c r="F6" s="49"/>
      <c r="G6" s="41"/>
    </row>
    <row r="7" spans="1:14" s="33" customFormat="1" ht="15.75" x14ac:dyDescent="0.25">
      <c r="A7" s="50" t="s">
        <v>321</v>
      </c>
      <c r="B7" s="219">
        <f>B3-B9-B10</f>
        <v>1531420.8</v>
      </c>
      <c r="C7" s="51">
        <f t="shared" si="0"/>
        <v>0.70304258964428756</v>
      </c>
      <c r="D7" s="52"/>
      <c r="E7" s="250" t="s">
        <v>361</v>
      </c>
      <c r="F7" s="251"/>
      <c r="G7" s="251"/>
      <c r="H7" s="251"/>
      <c r="I7" s="251"/>
      <c r="J7" s="251"/>
      <c r="K7" s="251"/>
      <c r="L7" s="251"/>
      <c r="M7" s="251"/>
      <c r="N7" s="252"/>
    </row>
    <row r="8" spans="1:14" s="33" customFormat="1" ht="15.75" x14ac:dyDescent="0.25">
      <c r="A8" s="53"/>
      <c r="B8" s="220"/>
      <c r="C8" s="54"/>
      <c r="D8" s="52"/>
      <c r="E8" s="253" t="s">
        <v>363</v>
      </c>
      <c r="F8" s="254"/>
      <c r="G8" s="254"/>
      <c r="H8" s="254"/>
      <c r="I8" s="254"/>
      <c r="J8" s="254"/>
      <c r="K8" s="254"/>
      <c r="L8" s="254"/>
      <c r="M8" s="254"/>
      <c r="N8" s="255"/>
    </row>
    <row r="9" spans="1:14" s="33" customFormat="1" ht="15.75" x14ac:dyDescent="0.25">
      <c r="A9" s="55" t="s">
        <v>351</v>
      </c>
      <c r="B9" s="221">
        <f>B4*0.2</f>
        <v>272855.2</v>
      </c>
      <c r="C9" s="56">
        <f t="shared" si="0"/>
        <v>0.12526199618413827</v>
      </c>
      <c r="D9" s="57"/>
      <c r="E9" s="253" t="s">
        <v>364</v>
      </c>
      <c r="F9" s="254"/>
      <c r="G9" s="254"/>
      <c r="H9" s="254"/>
      <c r="I9" s="254"/>
      <c r="J9" s="254"/>
      <c r="K9" s="254"/>
      <c r="L9" s="254"/>
      <c r="M9" s="254"/>
      <c r="N9" s="255"/>
    </row>
    <row r="10" spans="1:14" s="33" customFormat="1" ht="15.75" x14ac:dyDescent="0.25">
      <c r="A10" s="55" t="s">
        <v>352</v>
      </c>
      <c r="B10" s="221">
        <f>800000*0.45</f>
        <v>360000</v>
      </c>
      <c r="C10" s="56">
        <f t="shared" si="0"/>
        <v>0.16526831310632811</v>
      </c>
      <c r="D10" s="58"/>
      <c r="E10" s="253" t="s">
        <v>365</v>
      </c>
      <c r="F10" s="254"/>
      <c r="G10" s="254"/>
      <c r="H10" s="254"/>
      <c r="I10" s="254"/>
      <c r="J10" s="254"/>
      <c r="K10" s="254"/>
      <c r="L10" s="254"/>
      <c r="M10" s="254"/>
      <c r="N10" s="255"/>
    </row>
    <row r="11" spans="1:14" s="33" customFormat="1" ht="15.75" x14ac:dyDescent="0.25">
      <c r="A11" s="59" t="s">
        <v>353</v>
      </c>
      <c r="B11" s="222">
        <f>SUM(B9:B10)</f>
        <v>632855.19999999995</v>
      </c>
      <c r="C11" s="60">
        <f t="shared" si="0"/>
        <v>0.29053030929046636</v>
      </c>
      <c r="D11" s="57"/>
      <c r="E11" s="253" t="s">
        <v>366</v>
      </c>
      <c r="F11" s="254"/>
      <c r="G11" s="254"/>
      <c r="H11" s="254"/>
      <c r="I11" s="254"/>
      <c r="J11" s="254"/>
      <c r="K11" s="254"/>
      <c r="L11" s="254"/>
      <c r="M11" s="254"/>
      <c r="N11" s="255"/>
    </row>
    <row r="12" spans="1:14" s="33" customFormat="1" ht="16.5" thickBot="1" x14ac:dyDescent="0.3">
      <c r="A12" s="61"/>
      <c r="B12" s="220"/>
      <c r="C12" s="62"/>
      <c r="D12" s="57"/>
      <c r="E12" s="253" t="s">
        <v>367</v>
      </c>
      <c r="F12" s="254"/>
      <c r="G12" s="254"/>
      <c r="H12" s="254"/>
      <c r="I12" s="254"/>
      <c r="J12" s="254"/>
      <c r="K12" s="254"/>
      <c r="L12" s="254"/>
      <c r="M12" s="254"/>
      <c r="N12" s="255"/>
    </row>
    <row r="13" spans="1:14" s="33" customFormat="1" ht="17.25" thickTop="1" thickBot="1" x14ac:dyDescent="0.3">
      <c r="A13" s="63" t="s">
        <v>320</v>
      </c>
      <c r="B13" s="223">
        <f>B7+B11+B2</f>
        <v>2178276</v>
      </c>
      <c r="C13" s="64">
        <f t="shared" si="0"/>
        <v>1</v>
      </c>
      <c r="D13" s="58"/>
      <c r="E13" s="253" t="s">
        <v>368</v>
      </c>
      <c r="F13" s="254"/>
      <c r="G13" s="254"/>
      <c r="H13" s="254"/>
      <c r="I13" s="254"/>
      <c r="J13" s="254"/>
      <c r="K13" s="254"/>
      <c r="L13" s="254"/>
      <c r="M13" s="254"/>
      <c r="N13" s="255"/>
    </row>
    <row r="14" spans="1:14" s="33" customFormat="1" ht="16.5" thickTop="1" x14ac:dyDescent="0.25">
      <c r="A14" s="65" t="s">
        <v>2</v>
      </c>
      <c r="B14" s="224">
        <v>800000</v>
      </c>
      <c r="C14" s="66">
        <f t="shared" si="0"/>
        <v>0.36726291801406252</v>
      </c>
      <c r="D14" s="67"/>
      <c r="E14" s="256"/>
      <c r="F14" s="254"/>
      <c r="G14" s="254"/>
      <c r="H14" s="254"/>
      <c r="I14" s="254"/>
      <c r="J14" s="254"/>
      <c r="K14" s="254"/>
      <c r="L14" s="254"/>
      <c r="M14" s="254"/>
      <c r="N14" s="255"/>
    </row>
    <row r="15" spans="1:14" ht="15.75" x14ac:dyDescent="0.25">
      <c r="A15" s="68"/>
      <c r="B15" s="225"/>
      <c r="C15" s="67"/>
      <c r="D15" s="67"/>
      <c r="E15" s="257" t="s">
        <v>362</v>
      </c>
      <c r="F15" s="258"/>
      <c r="G15" s="258"/>
      <c r="H15" s="258"/>
      <c r="I15" s="258"/>
      <c r="J15" s="258"/>
      <c r="K15" s="258"/>
      <c r="L15" s="258"/>
      <c r="M15" s="258"/>
      <c r="N15" s="259"/>
    </row>
    <row r="16" spans="1:14" ht="15.75" x14ac:dyDescent="0.25">
      <c r="A16" s="68"/>
      <c r="B16" s="225"/>
      <c r="C16" s="67"/>
      <c r="D16" s="67"/>
      <c r="E16" s="102"/>
      <c r="F16" s="101"/>
      <c r="G16" s="101"/>
      <c r="H16" s="101"/>
      <c r="I16" s="101"/>
      <c r="J16" s="101"/>
      <c r="K16" s="101"/>
      <c r="L16" s="101"/>
      <c r="M16" s="101"/>
      <c r="N16" s="101"/>
    </row>
    <row r="17" spans="1:11" ht="15.75" thickBot="1" x14ac:dyDescent="0.3">
      <c r="A17" s="71" t="s">
        <v>356</v>
      </c>
      <c r="B17" s="225"/>
      <c r="C17" s="67"/>
      <c r="D17" s="67"/>
      <c r="E17" s="72" t="s">
        <v>357</v>
      </c>
      <c r="F17" s="69"/>
      <c r="G17" s="69"/>
    </row>
    <row r="18" spans="1:11" ht="15.75" thickTop="1" x14ac:dyDescent="0.25">
      <c r="A18" s="73" t="s">
        <v>225</v>
      </c>
      <c r="B18" s="226" t="s">
        <v>226</v>
      </c>
      <c r="C18" s="74" t="s">
        <v>227</v>
      </c>
      <c r="D18" s="75"/>
      <c r="E18" s="76" t="s">
        <v>226</v>
      </c>
      <c r="F18" s="77" t="s">
        <v>227</v>
      </c>
    </row>
    <row r="19" spans="1:11" x14ac:dyDescent="0.25">
      <c r="A19" s="79" t="s">
        <v>5</v>
      </c>
      <c r="B19" s="227">
        <f>($B$5-$B$23-$B$24)/4</f>
        <v>240355.20000000001</v>
      </c>
      <c r="C19" s="80">
        <f>B19/'Fee Model FY25-FY29'!G98</f>
        <v>0.34149173319466525</v>
      </c>
      <c r="D19" s="81"/>
      <c r="E19" s="241">
        <f>'Fee Model FY25-FY29'!G98*F19</f>
        <v>239305.26</v>
      </c>
      <c r="F19" s="237">
        <v>0.34</v>
      </c>
      <c r="H19" s="78"/>
      <c r="I19" s="78"/>
      <c r="K19" s="70"/>
    </row>
    <row r="20" spans="1:11" x14ac:dyDescent="0.25">
      <c r="A20" s="82" t="s">
        <v>6</v>
      </c>
      <c r="B20" s="228">
        <f>($B$5-$B$23-$B$24)/4</f>
        <v>240355.20000000001</v>
      </c>
      <c r="C20" s="83">
        <f>B20/'Fee Model FY25-FY29'!K98</f>
        <v>0.88808291304106857</v>
      </c>
      <c r="D20" s="81"/>
      <c r="E20" s="242">
        <f>'Fee Model FY25-FY29'!K98*F20</f>
        <v>240874.05000000002</v>
      </c>
      <c r="F20" s="238">
        <v>0.89</v>
      </c>
      <c r="H20" s="78"/>
      <c r="I20" s="78"/>
      <c r="K20" s="70"/>
    </row>
    <row r="21" spans="1:11" x14ac:dyDescent="0.25">
      <c r="A21" s="84" t="s">
        <v>7</v>
      </c>
      <c r="B21" s="229">
        <f>($B$5-$B$23-$B$24)/4</f>
        <v>240355.20000000001</v>
      </c>
      <c r="C21" s="85">
        <f>B21/'Fee Model FY25-FY29'!N98</f>
        <v>6.4171469077016111E-2</v>
      </c>
      <c r="D21" s="81"/>
      <c r="E21" s="243">
        <f>F21*'Fee Model FY25-FY29'!N98</f>
        <v>262186.05000000005</v>
      </c>
      <c r="F21" s="239">
        <v>7.0000000000000007E-2</v>
      </c>
      <c r="H21" s="78"/>
      <c r="I21" s="78"/>
      <c r="K21" s="70"/>
    </row>
    <row r="22" spans="1:11" x14ac:dyDescent="0.25">
      <c r="A22" s="86" t="s">
        <v>8</v>
      </c>
      <c r="B22" s="230">
        <f>($B$5-$B$23-$B$24)/4</f>
        <v>240355.20000000001</v>
      </c>
      <c r="C22" s="87">
        <f>B22/'Fee Model FY25-FY29'!Q98</f>
        <v>5.8373778390876062E-2</v>
      </c>
      <c r="D22" s="81"/>
      <c r="E22" s="244">
        <f>F22*'Fee Model FY25-FY29'!Q98</f>
        <v>247051.19999999998</v>
      </c>
      <c r="F22" s="240">
        <v>0.06</v>
      </c>
      <c r="H22" s="78"/>
      <c r="I22" s="78"/>
      <c r="K22" s="70"/>
    </row>
    <row r="23" spans="1:11" x14ac:dyDescent="0.25">
      <c r="A23" s="88" t="s">
        <v>9</v>
      </c>
      <c r="B23" s="231">
        <f>'Fee Model FY25-FY29'!T98</f>
        <v>96000</v>
      </c>
      <c r="C23" s="89"/>
      <c r="D23" s="90"/>
      <c r="E23" s="245">
        <f>'Fee Model FY25-FY29'!T98</f>
        <v>96000</v>
      </c>
      <c r="F23" s="246"/>
      <c r="H23" s="78"/>
      <c r="I23" s="78"/>
      <c r="K23" s="70"/>
    </row>
    <row r="24" spans="1:11" ht="30.75" thickBot="1" x14ac:dyDescent="0.3">
      <c r="A24" s="91" t="s">
        <v>10</v>
      </c>
      <c r="B24" s="232">
        <f>'Fee Model FY25-FY29'!U98</f>
        <v>34000</v>
      </c>
      <c r="C24" s="92"/>
      <c r="D24" s="90"/>
      <c r="E24" s="247">
        <f>'Fee Model FY25-FY29'!U98</f>
        <v>34000</v>
      </c>
      <c r="F24" s="248"/>
      <c r="H24" s="78"/>
      <c r="I24" s="78"/>
      <c r="K24" s="70"/>
    </row>
    <row r="25" spans="1:11" s="95" customFormat="1" ht="15.75" thickTop="1" x14ac:dyDescent="0.25">
      <c r="A25" s="93" t="s">
        <v>11</v>
      </c>
      <c r="B25" s="217">
        <f>SUM(B19:B24)</f>
        <v>1091420.8</v>
      </c>
      <c r="C25" s="75"/>
      <c r="D25" s="94"/>
      <c r="E25" s="217">
        <f>SUM(E19:E24)</f>
        <v>1119416.56</v>
      </c>
      <c r="F25" s="249"/>
      <c r="G25" s="42"/>
      <c r="H25" s="70"/>
      <c r="I25" s="42"/>
    </row>
    <row r="26" spans="1:11" x14ac:dyDescent="0.25">
      <c r="B26" s="96"/>
      <c r="C26" s="69"/>
      <c r="D26" s="94"/>
    </row>
    <row r="27" spans="1:11" s="33" customFormat="1" x14ac:dyDescent="0.25">
      <c r="A27" s="34" t="s">
        <v>317</v>
      </c>
      <c r="B27" s="233">
        <f>'Fee Model FY25-FY29'!AO98</f>
        <v>1067163.3100000003</v>
      </c>
      <c r="C27" s="49"/>
      <c r="D27" s="97"/>
      <c r="E27" s="78"/>
      <c r="F27" s="78"/>
      <c r="G27" s="78"/>
      <c r="H27" s="42"/>
      <c r="I27" s="70"/>
      <c r="J27" s="42"/>
    </row>
    <row r="28" spans="1:11" x14ac:dyDescent="0.25">
      <c r="A28" s="65" t="s">
        <v>315</v>
      </c>
      <c r="B28" s="98">
        <f>B27-B5</f>
        <v>-24257.489999999758</v>
      </c>
      <c r="C28" s="69"/>
      <c r="D28" s="69"/>
    </row>
    <row r="29" spans="1:11" x14ac:dyDescent="0.25">
      <c r="A29" s="96"/>
      <c r="B29" s="69"/>
      <c r="C29" s="69"/>
      <c r="D29" s="69"/>
    </row>
    <row r="30" spans="1:11" x14ac:dyDescent="0.25">
      <c r="B30" s="96"/>
      <c r="C30" s="69"/>
      <c r="D30" s="69"/>
    </row>
    <row r="31" spans="1:11" x14ac:dyDescent="0.25">
      <c r="C31" s="69"/>
      <c r="D31" s="69"/>
    </row>
    <row r="32" spans="1:11" x14ac:dyDescent="0.25">
      <c r="B32" s="100"/>
      <c r="C32" s="69"/>
      <c r="D32" s="69"/>
    </row>
    <row r="33" spans="2:4" x14ac:dyDescent="0.25">
      <c r="B33" s="100"/>
      <c r="C33" s="69"/>
      <c r="D33" s="69"/>
    </row>
    <row r="35" spans="2:4" x14ac:dyDescent="0.25">
      <c r="B35" s="100"/>
    </row>
  </sheetData>
  <conditionalFormatting sqref="B28">
    <cfRule type="cellIs" dxfId="13" priority="2"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CC3FB-EE1C-46BF-B72C-63317A224C11}">
  <sheetPr>
    <pageSetUpPr fitToPage="1"/>
  </sheetPr>
  <dimension ref="A1:BA112"/>
  <sheetViews>
    <sheetView tabSelected="1" zoomScale="112" workbookViewId="0">
      <pane xSplit="1" ySplit="1" topLeftCell="B2" activePane="bottomRight" state="frozen"/>
      <selection pane="topRight" activeCell="B1" sqref="B1"/>
      <selection pane="bottomLeft" activeCell="A2" sqref="A2"/>
      <selection pane="bottomRight" activeCell="AO71" sqref="AO71"/>
    </sheetView>
  </sheetViews>
  <sheetFormatPr defaultColWidth="9.140625" defaultRowHeight="18" customHeight="1" x14ac:dyDescent="0.25"/>
  <cols>
    <col min="1" max="1" width="53" style="33" customWidth="1"/>
    <col min="2" max="2" width="17.42578125" style="42" customWidth="1"/>
    <col min="3" max="3" width="10.42578125" style="42" customWidth="1"/>
    <col min="4" max="4" width="10.28515625" style="178" customWidth="1"/>
    <col min="5" max="5" width="13.7109375" style="42" customWidth="1"/>
    <col min="6" max="6" width="14.140625" style="42" customWidth="1"/>
    <col min="7" max="8" width="11.28515625" style="42" customWidth="1"/>
    <col min="9" max="9" width="11" style="42" customWidth="1"/>
    <col min="10" max="10" width="12.5703125" style="95" customWidth="1"/>
    <col min="11" max="11" width="11.85546875" style="42" customWidth="1"/>
    <col min="12" max="12" width="12" style="42" customWidth="1"/>
    <col min="13" max="13" width="12.7109375" style="95" customWidth="1"/>
    <col min="14" max="14" width="10.7109375" style="42" customWidth="1"/>
    <col min="15" max="15" width="11.7109375" style="42" customWidth="1"/>
    <col min="16" max="16" width="12.85546875" style="95" customWidth="1"/>
    <col min="17" max="17" width="11.7109375" style="42" customWidth="1"/>
    <col min="18" max="18" width="12.42578125" style="42" customWidth="1"/>
    <col min="19" max="19" width="12.42578125" style="179" customWidth="1"/>
    <col min="20" max="20" width="13.140625" style="95" customWidth="1"/>
    <col min="21" max="21" width="11.7109375" style="95" customWidth="1"/>
    <col min="22" max="22" width="14.28515625" style="33" customWidth="1"/>
    <col min="23" max="23" width="14.42578125" style="33" customWidth="1"/>
    <col min="24" max="24" width="12.7109375" style="33" customWidth="1"/>
    <col min="25" max="25" width="13" style="180" customWidth="1"/>
    <col min="26" max="26" width="11.85546875" style="42" customWidth="1"/>
    <col min="27" max="27" width="8.42578125" style="42" customWidth="1"/>
    <col min="28" max="29" width="11.42578125" style="42" customWidth="1"/>
    <col min="30" max="31" width="11.42578125" style="160" customWidth="1"/>
    <col min="32" max="32" width="13.42578125" style="181" customWidth="1"/>
    <col min="33" max="34" width="11.42578125" style="160" customWidth="1"/>
    <col min="35" max="35" width="11.42578125" style="181" customWidth="1"/>
    <col min="36" max="37" width="11.42578125" style="160" customWidth="1"/>
    <col min="38" max="38" width="11.42578125" style="181" customWidth="1"/>
    <col min="39" max="39" width="15.28515625" style="160" customWidth="1"/>
    <col min="40" max="40" width="11.42578125" style="160" customWidth="1"/>
    <col min="41" max="41" width="15.7109375" style="181" customWidth="1"/>
    <col min="42" max="42" width="11.42578125" style="42" customWidth="1"/>
    <col min="43" max="43" width="9.140625" style="42"/>
    <col min="44" max="44" width="12.7109375" style="42" customWidth="1"/>
    <col min="45" max="45" width="9.140625" style="33" customWidth="1"/>
    <col min="46" max="46" width="13.42578125" style="182" customWidth="1"/>
    <col min="47" max="47" width="12.85546875" style="182" customWidth="1"/>
    <col min="48" max="48" width="11.140625" style="183" customWidth="1"/>
    <col min="49" max="49" width="11.42578125" style="70" customWidth="1"/>
    <col min="50" max="50" width="12.85546875" style="42" customWidth="1"/>
    <col min="51" max="51" width="11.7109375" style="42" customWidth="1"/>
    <col min="52" max="52" width="12.85546875" style="42" customWidth="1"/>
    <col min="53" max="53" width="9.140625" style="42"/>
    <col min="54" max="16384" width="9.140625" style="33"/>
  </cols>
  <sheetData>
    <row r="1" spans="1:53" s="212" customFormat="1" ht="105.75" customHeight="1" x14ac:dyDescent="0.25">
      <c r="A1" s="213" t="s">
        <v>12</v>
      </c>
      <c r="B1" s="184" t="s">
        <v>13</v>
      </c>
      <c r="C1" s="184" t="s">
        <v>14</v>
      </c>
      <c r="D1" s="103" t="s">
        <v>331</v>
      </c>
      <c r="E1" s="185" t="s">
        <v>370</v>
      </c>
      <c r="F1" s="185" t="s">
        <v>371</v>
      </c>
      <c r="G1" s="186" t="s">
        <v>326</v>
      </c>
      <c r="H1" s="186" t="s">
        <v>327</v>
      </c>
      <c r="I1" s="187" t="s">
        <v>328</v>
      </c>
      <c r="J1" s="188" t="s">
        <v>336</v>
      </c>
      <c r="K1" s="189" t="s">
        <v>300</v>
      </c>
      <c r="L1" s="190" t="s">
        <v>15</v>
      </c>
      <c r="M1" s="191" t="s">
        <v>337</v>
      </c>
      <c r="N1" s="192" t="s">
        <v>310</v>
      </c>
      <c r="O1" s="193" t="s">
        <v>16</v>
      </c>
      <c r="P1" s="194" t="s">
        <v>338</v>
      </c>
      <c r="Q1" s="195" t="s">
        <v>308</v>
      </c>
      <c r="R1" s="196" t="s">
        <v>17</v>
      </c>
      <c r="S1" s="197" t="s">
        <v>339</v>
      </c>
      <c r="T1" s="198" t="s">
        <v>3</v>
      </c>
      <c r="U1" s="199" t="s">
        <v>340</v>
      </c>
      <c r="V1" s="200" t="s">
        <v>354</v>
      </c>
      <c r="W1" s="200" t="s">
        <v>329</v>
      </c>
      <c r="X1" s="200" t="s">
        <v>372</v>
      </c>
      <c r="Y1" s="201" t="s">
        <v>373</v>
      </c>
      <c r="Z1" s="202" t="s">
        <v>343</v>
      </c>
      <c r="AA1" s="202" t="s">
        <v>348</v>
      </c>
      <c r="AB1" s="203" t="s">
        <v>341</v>
      </c>
      <c r="AC1" s="203" t="s">
        <v>355</v>
      </c>
      <c r="AD1" s="204" t="s">
        <v>221</v>
      </c>
      <c r="AE1" s="204" t="s">
        <v>374</v>
      </c>
      <c r="AF1" s="204" t="s">
        <v>344</v>
      </c>
      <c r="AG1" s="205" t="s">
        <v>222</v>
      </c>
      <c r="AH1" s="205" t="s">
        <v>375</v>
      </c>
      <c r="AI1" s="205" t="s">
        <v>345</v>
      </c>
      <c r="AJ1" s="206" t="s">
        <v>223</v>
      </c>
      <c r="AK1" s="206" t="s">
        <v>376</v>
      </c>
      <c r="AL1" s="206" t="s">
        <v>346</v>
      </c>
      <c r="AM1" s="207" t="s">
        <v>330</v>
      </c>
      <c r="AN1" s="208" t="s">
        <v>377</v>
      </c>
      <c r="AO1" s="208" t="s">
        <v>347</v>
      </c>
      <c r="AP1" s="208" t="s">
        <v>378</v>
      </c>
      <c r="AQ1" s="207" t="s">
        <v>380</v>
      </c>
      <c r="AR1" s="207" t="s">
        <v>379</v>
      </c>
      <c r="AS1" s="207" t="s">
        <v>349</v>
      </c>
      <c r="AT1" s="209" t="s">
        <v>381</v>
      </c>
      <c r="AU1" s="209" t="s">
        <v>382</v>
      </c>
      <c r="AV1" s="210" t="s">
        <v>350</v>
      </c>
      <c r="AW1" s="211" t="s">
        <v>332</v>
      </c>
      <c r="AX1" s="211" t="s">
        <v>333</v>
      </c>
      <c r="AY1" s="211" t="s">
        <v>334</v>
      </c>
      <c r="AZ1" s="211" t="s">
        <v>335</v>
      </c>
      <c r="BA1" s="212" t="s">
        <v>324</v>
      </c>
    </row>
    <row r="2" spans="1:53" ht="18" customHeight="1" x14ac:dyDescent="0.25">
      <c r="A2" s="148" t="s">
        <v>20</v>
      </c>
      <c r="B2" s="149" t="s">
        <v>21</v>
      </c>
      <c r="C2" s="148">
        <v>1</v>
      </c>
      <c r="D2" s="150" t="s">
        <v>323</v>
      </c>
      <c r="E2" s="107">
        <v>324</v>
      </c>
      <c r="F2" s="107">
        <f t="shared" ref="F2:F33" si="0">_xlfn.RANK.EQ(E2,$E$2:$E$97,1)</f>
        <v>84</v>
      </c>
      <c r="G2" s="108">
        <v>1808</v>
      </c>
      <c r="H2" s="108" t="s">
        <v>311</v>
      </c>
      <c r="I2" s="109">
        <f t="shared" ref="I2:I33" si="1">G2/$G$98</f>
        <v>2.5687692782014071E-3</v>
      </c>
      <c r="J2" s="110">
        <f>G2*'Target revenue sheet'!$F$19</f>
        <v>614.72</v>
      </c>
      <c r="K2" s="111">
        <v>184</v>
      </c>
      <c r="L2" s="112">
        <f t="shared" ref="L2:L33" si="2">K2/$K$98</f>
        <v>6.7985737774575554E-4</v>
      </c>
      <c r="M2" s="113">
        <f>K2*'Target revenue sheet'!$F$20</f>
        <v>163.76</v>
      </c>
      <c r="N2" s="114">
        <v>14670</v>
      </c>
      <c r="O2" s="115">
        <f t="shared" ref="O2:O33" si="3">N2/$N$98</f>
        <v>3.9166843544879678E-3</v>
      </c>
      <c r="P2" s="116">
        <f>N2*'Target revenue sheet'!$F$21</f>
        <v>1026.9000000000001</v>
      </c>
      <c r="Q2" s="117">
        <v>2822</v>
      </c>
      <c r="R2" s="118">
        <f t="shared" ref="R2:R33" si="4">Q2/$Q$98</f>
        <v>6.8536400551788459E-4</v>
      </c>
      <c r="S2" s="119">
        <f>Q2*'Target revenue sheet'!$F$22</f>
        <v>169.32</v>
      </c>
      <c r="T2" s="120">
        <f>'Target revenue sheet'!$F$2</f>
        <v>1000</v>
      </c>
      <c r="U2" s="121">
        <f>(C2-1)*'Target revenue sheet'!$F$1</f>
        <v>0</v>
      </c>
      <c r="V2" s="122">
        <f t="shared" ref="V2:V33" si="5">J2+M2+P2+S2+T2+U2</f>
        <v>2974.7</v>
      </c>
      <c r="W2" s="123">
        <f>IF(V2&lt;'Target revenue sheet'!$F$3,'Target revenue sheet'!$F$3,V2)</f>
        <v>3200</v>
      </c>
      <c r="X2" s="123"/>
      <c r="Y2" s="124">
        <v>1925</v>
      </c>
      <c r="Z2" s="125">
        <f t="shared" ref="Z2:Z33" si="6">Y2/$Y$98</f>
        <v>2.6247434909770183E-3</v>
      </c>
      <c r="AA2" s="126">
        <f t="shared" ref="AA2:AA33" si="7">_xlfn.RANK.EQ(Y2,$Y$2:$Y$97)</f>
        <v>48</v>
      </c>
      <c r="AB2" s="151">
        <v>1900</v>
      </c>
      <c r="AC2" s="127">
        <v>2090</v>
      </c>
      <c r="AD2" s="128">
        <f t="shared" ref="AD2:AD33" si="8">$AB2+($AP2*0.25)</f>
        <v>2225</v>
      </c>
      <c r="AE2" s="129">
        <f t="shared" ref="AE2:AE33" si="9">IF($D2="Yes",AD2*0.1,)</f>
        <v>222.5</v>
      </c>
      <c r="AF2" s="130">
        <f t="shared" ref="AF2:AF33" si="10">AD2+AE2</f>
        <v>2447.5</v>
      </c>
      <c r="AG2" s="131">
        <f t="shared" ref="AG2:AG33" si="11">$AB2+($AP2*0.5)</f>
        <v>2550</v>
      </c>
      <c r="AH2" s="132">
        <f t="shared" ref="AH2:AH33" si="12">IF($D2="Yes",AG2*0.1,)</f>
        <v>255</v>
      </c>
      <c r="AI2" s="133">
        <f t="shared" ref="AI2:AI33" si="13">AG2+AH2</f>
        <v>2805</v>
      </c>
      <c r="AJ2" s="134">
        <f t="shared" ref="AJ2:AJ33" si="14">$AB2+($AP2*0.75)</f>
        <v>2875</v>
      </c>
      <c r="AK2" s="135">
        <f t="shared" ref="AK2:AK33" si="15">IF($D2="Yes",AJ2*0.1,)</f>
        <v>287.5</v>
      </c>
      <c r="AL2" s="136">
        <f t="shared" ref="AL2:AL33" si="16">AJ2+AK2</f>
        <v>3162.5</v>
      </c>
      <c r="AM2" s="137">
        <f t="shared" ref="AM2:AM33" si="17">IF($X2&lt;1,$W2,($AB2*$X2))</f>
        <v>3200</v>
      </c>
      <c r="AN2" s="137">
        <f t="shared" ref="AN2:AN33" si="18">IF($D2="Yes",AM2*0.1,)</f>
        <v>320</v>
      </c>
      <c r="AO2" s="138">
        <f t="shared" ref="AO2:AO33" si="19">AM2+AN2</f>
        <v>3520</v>
      </c>
      <c r="AP2" s="139">
        <f t="shared" ref="AP2:AP33" si="20">AM2-AB2</f>
        <v>1300</v>
      </c>
      <c r="AQ2" s="140">
        <f t="shared" ref="AQ2:AQ33" si="21">$AP2/$AB2</f>
        <v>0.68421052631578949</v>
      </c>
      <c r="AR2" s="141">
        <f t="shared" ref="AR2:AR33" si="22">AO2/$AO$98</f>
        <v>3.2984642247492553E-3</v>
      </c>
      <c r="AS2" s="142">
        <f t="shared" ref="AS2:AS33" si="23">_xlfn.RANK.EQ(AM2,$AM$2:$AM$97)</f>
        <v>81</v>
      </c>
      <c r="AT2" s="143" t="str">
        <f t="shared" ref="AT2:AT33" si="24">IF(AQ2&gt;1,AP2,"")</f>
        <v/>
      </c>
      <c r="AU2" s="144" t="str">
        <f t="shared" ref="AU2:AU33" si="25">IF(AQ2&gt;1.99,AP2,"")</f>
        <v/>
      </c>
      <c r="AV2" s="260">
        <v>2625</v>
      </c>
      <c r="AW2" s="146">
        <f t="shared" ref="AW2:AW33" si="26">IF(H2="A",AM2,"")</f>
        <v>3200</v>
      </c>
      <c r="AX2" s="146" t="str">
        <f t="shared" ref="AX2:AX33" si="27">IF(H2="B",AM2,"")</f>
        <v/>
      </c>
      <c r="AY2" s="146" t="str">
        <f t="shared" ref="AY2:AY33" si="28">IF(H2="C",AM2,"")</f>
        <v/>
      </c>
      <c r="AZ2" s="146" t="str">
        <f t="shared" ref="AZ2:AZ33" si="29">IF(H2="D",AM2,"")</f>
        <v/>
      </c>
      <c r="BA2" s="42">
        <v>2</v>
      </c>
    </row>
    <row r="3" spans="1:53" ht="18" customHeight="1" x14ac:dyDescent="0.25">
      <c r="A3" s="147" t="s">
        <v>22</v>
      </c>
      <c r="B3" s="152" t="s">
        <v>23</v>
      </c>
      <c r="C3" s="147">
        <v>1</v>
      </c>
      <c r="D3" s="106" t="s">
        <v>325</v>
      </c>
      <c r="E3" s="107">
        <v>274</v>
      </c>
      <c r="F3" s="107">
        <f t="shared" si="0"/>
        <v>72</v>
      </c>
      <c r="G3" s="108">
        <v>1387</v>
      </c>
      <c r="H3" s="108" t="s">
        <v>311</v>
      </c>
      <c r="I3" s="109">
        <f t="shared" si="1"/>
        <v>1.9706211221600396E-3</v>
      </c>
      <c r="J3" s="110">
        <f>G3*'Target revenue sheet'!$F$19</f>
        <v>471.58000000000004</v>
      </c>
      <c r="K3" s="111">
        <v>415</v>
      </c>
      <c r="L3" s="112">
        <f t="shared" si="2"/>
        <v>1.5333739769809159E-3</v>
      </c>
      <c r="M3" s="113">
        <f>K3*'Target revenue sheet'!$F$20</f>
        <v>369.35</v>
      </c>
      <c r="N3" s="114">
        <v>27055</v>
      </c>
      <c r="O3" s="115">
        <f t="shared" si="3"/>
        <v>7.223305740332104E-3</v>
      </c>
      <c r="P3" s="116">
        <f>N3*'Target revenue sheet'!$F$21</f>
        <v>1893.8500000000001</v>
      </c>
      <c r="Q3" s="117">
        <v>5189</v>
      </c>
      <c r="R3" s="118">
        <f t="shared" si="4"/>
        <v>1.2602246012162661E-3</v>
      </c>
      <c r="S3" s="119">
        <f>Q3*'Target revenue sheet'!$F$22</f>
        <v>311.33999999999997</v>
      </c>
      <c r="T3" s="120">
        <f>'Target revenue sheet'!$F$2</f>
        <v>1000</v>
      </c>
      <c r="U3" s="121">
        <f>(C3-1)*'Target revenue sheet'!$F$1</f>
        <v>0</v>
      </c>
      <c r="V3" s="122">
        <f t="shared" si="5"/>
        <v>4046.1200000000003</v>
      </c>
      <c r="W3" s="123">
        <f>IF(V3&lt;'Target revenue sheet'!$F$3,'Target revenue sheet'!$F$3,V3)</f>
        <v>4046.1200000000003</v>
      </c>
      <c r="X3" s="123"/>
      <c r="Y3" s="124">
        <v>1750</v>
      </c>
      <c r="Z3" s="125">
        <f t="shared" si="6"/>
        <v>2.3861304463427438E-3</v>
      </c>
      <c r="AA3" s="126">
        <f t="shared" si="7"/>
        <v>58</v>
      </c>
      <c r="AB3" s="127">
        <v>1900</v>
      </c>
      <c r="AC3" s="127"/>
      <c r="AD3" s="128">
        <f t="shared" si="8"/>
        <v>2436.5300000000002</v>
      </c>
      <c r="AE3" s="129">
        <f t="shared" si="9"/>
        <v>0</v>
      </c>
      <c r="AF3" s="130">
        <f t="shared" si="10"/>
        <v>2436.5300000000002</v>
      </c>
      <c r="AG3" s="131">
        <f t="shared" si="11"/>
        <v>2973.0600000000004</v>
      </c>
      <c r="AH3" s="132">
        <f t="shared" si="12"/>
        <v>0</v>
      </c>
      <c r="AI3" s="133">
        <f t="shared" si="13"/>
        <v>2973.0600000000004</v>
      </c>
      <c r="AJ3" s="134">
        <f t="shared" si="14"/>
        <v>3509.59</v>
      </c>
      <c r="AK3" s="135">
        <f t="shared" si="15"/>
        <v>0</v>
      </c>
      <c r="AL3" s="136">
        <f t="shared" si="16"/>
        <v>3509.59</v>
      </c>
      <c r="AM3" s="137">
        <f t="shared" si="17"/>
        <v>4046.1200000000003</v>
      </c>
      <c r="AN3" s="137">
        <f t="shared" si="18"/>
        <v>0</v>
      </c>
      <c r="AO3" s="138">
        <f t="shared" si="19"/>
        <v>4046.1200000000003</v>
      </c>
      <c r="AP3" s="139">
        <f t="shared" si="20"/>
        <v>2146.1200000000003</v>
      </c>
      <c r="AQ3" s="140">
        <f t="shared" si="21"/>
        <v>1.1295368421052634</v>
      </c>
      <c r="AR3" s="141">
        <f t="shared" si="22"/>
        <v>3.7914721787052435E-3</v>
      </c>
      <c r="AS3" s="142">
        <f t="shared" si="23"/>
        <v>63</v>
      </c>
      <c r="AT3" s="143">
        <f t="shared" si="24"/>
        <v>2146.1200000000003</v>
      </c>
      <c r="AU3" s="144" t="str">
        <f t="shared" si="25"/>
        <v/>
      </c>
      <c r="AV3" s="260">
        <v>2625</v>
      </c>
      <c r="AW3" s="146">
        <f t="shared" si="26"/>
        <v>4046.1200000000003</v>
      </c>
      <c r="AX3" s="146" t="str">
        <f t="shared" si="27"/>
        <v/>
      </c>
      <c r="AY3" s="146" t="str">
        <f t="shared" si="28"/>
        <v/>
      </c>
      <c r="AZ3" s="146" t="str">
        <f t="shared" si="29"/>
        <v/>
      </c>
      <c r="BA3" s="42">
        <v>3</v>
      </c>
    </row>
    <row r="4" spans="1:53" ht="18" customHeight="1" x14ac:dyDescent="0.25">
      <c r="A4" s="147" t="s">
        <v>18</v>
      </c>
      <c r="B4" s="105" t="s">
        <v>19</v>
      </c>
      <c r="C4" s="147">
        <v>1</v>
      </c>
      <c r="D4" s="106" t="s">
        <v>325</v>
      </c>
      <c r="E4" s="107">
        <v>33</v>
      </c>
      <c r="F4" s="107">
        <f t="shared" si="0"/>
        <v>8</v>
      </c>
      <c r="G4" s="108">
        <v>24397</v>
      </c>
      <c r="H4" s="108" t="s">
        <v>314</v>
      </c>
      <c r="I4" s="109">
        <f t="shared" si="1"/>
        <v>3.4662756681570643E-2</v>
      </c>
      <c r="J4" s="110">
        <f>G4*'Target revenue sheet'!$F$19</f>
        <v>8294.9800000000014</v>
      </c>
      <c r="K4" s="111">
        <v>7460</v>
      </c>
      <c r="L4" s="112">
        <f t="shared" si="2"/>
        <v>2.7563782815126826E-2</v>
      </c>
      <c r="M4" s="113">
        <f>K4*'Target revenue sheet'!$F$20</f>
        <v>6639.4000000000005</v>
      </c>
      <c r="N4" s="114">
        <v>93614</v>
      </c>
      <c r="O4" s="115">
        <f t="shared" si="3"/>
        <v>2.4993625709682114E-2</v>
      </c>
      <c r="P4" s="116">
        <f>N4*'Target revenue sheet'!$F$21</f>
        <v>6552.9800000000005</v>
      </c>
      <c r="Q4" s="117">
        <v>108892</v>
      </c>
      <c r="R4" s="118">
        <f t="shared" si="4"/>
        <v>2.6446016048495211E-2</v>
      </c>
      <c r="S4" s="119">
        <f>Q4*'Target revenue sheet'!$F$22</f>
        <v>6533.5199999999995</v>
      </c>
      <c r="T4" s="120">
        <f>'Target revenue sheet'!$F$2</f>
        <v>1000</v>
      </c>
      <c r="U4" s="121">
        <f>(C4-1)*'Target revenue sheet'!$F$1</f>
        <v>0</v>
      </c>
      <c r="V4" s="122">
        <f t="shared" si="5"/>
        <v>29020.880000000001</v>
      </c>
      <c r="W4" s="123">
        <f>IF(V4&lt;'Target revenue sheet'!$F$3,'Target revenue sheet'!$F$3,V4)</f>
        <v>29020.880000000001</v>
      </c>
      <c r="X4" s="123"/>
      <c r="Y4" s="124">
        <v>27036</v>
      </c>
      <c r="Z4" s="125">
        <f t="shared" si="6"/>
        <v>3.6863670141327097E-2</v>
      </c>
      <c r="AA4" s="126">
        <f t="shared" si="7"/>
        <v>8</v>
      </c>
      <c r="AB4" s="127">
        <v>27847</v>
      </c>
      <c r="AC4" s="127"/>
      <c r="AD4" s="128">
        <f t="shared" si="8"/>
        <v>28140.47</v>
      </c>
      <c r="AE4" s="129">
        <f t="shared" si="9"/>
        <v>0</v>
      </c>
      <c r="AF4" s="130">
        <f t="shared" si="10"/>
        <v>28140.47</v>
      </c>
      <c r="AG4" s="131">
        <f t="shared" si="11"/>
        <v>28433.940000000002</v>
      </c>
      <c r="AH4" s="132">
        <f t="shared" si="12"/>
        <v>0</v>
      </c>
      <c r="AI4" s="133">
        <f t="shared" si="13"/>
        <v>28433.940000000002</v>
      </c>
      <c r="AJ4" s="134">
        <f t="shared" si="14"/>
        <v>28727.41</v>
      </c>
      <c r="AK4" s="135">
        <f t="shared" si="15"/>
        <v>0</v>
      </c>
      <c r="AL4" s="136">
        <f t="shared" si="16"/>
        <v>28727.41</v>
      </c>
      <c r="AM4" s="137">
        <f t="shared" si="17"/>
        <v>29020.880000000001</v>
      </c>
      <c r="AN4" s="137">
        <f t="shared" si="18"/>
        <v>0</v>
      </c>
      <c r="AO4" s="138">
        <f t="shared" si="19"/>
        <v>29020.880000000001</v>
      </c>
      <c r="AP4" s="139">
        <f t="shared" si="20"/>
        <v>1173.880000000001</v>
      </c>
      <c r="AQ4" s="140">
        <f t="shared" si="21"/>
        <v>4.2154630660394335E-2</v>
      </c>
      <c r="AR4" s="141">
        <f t="shared" si="22"/>
        <v>2.7194413196233287E-2</v>
      </c>
      <c r="AS4" s="142">
        <f t="shared" si="23"/>
        <v>10</v>
      </c>
      <c r="AT4" s="143" t="str">
        <f t="shared" si="24"/>
        <v/>
      </c>
      <c r="AU4" s="144" t="str">
        <f t="shared" si="25"/>
        <v/>
      </c>
      <c r="AV4" s="260">
        <v>2625</v>
      </c>
      <c r="AW4" s="146" t="str">
        <f t="shared" si="26"/>
        <v/>
      </c>
      <c r="AX4" s="146" t="str">
        <f t="shared" si="27"/>
        <v/>
      </c>
      <c r="AY4" s="146" t="str">
        <f t="shared" si="28"/>
        <v/>
      </c>
      <c r="AZ4" s="146">
        <f t="shared" si="29"/>
        <v>29020.880000000001</v>
      </c>
      <c r="BA4" s="42">
        <v>1</v>
      </c>
    </row>
    <row r="5" spans="1:53" ht="18" customHeight="1" x14ac:dyDescent="0.25">
      <c r="A5" s="148" t="s">
        <v>24</v>
      </c>
      <c r="B5" s="149" t="s">
        <v>25</v>
      </c>
      <c r="C5" s="148">
        <v>1</v>
      </c>
      <c r="D5" s="150" t="s">
        <v>323</v>
      </c>
      <c r="E5" s="107">
        <v>290</v>
      </c>
      <c r="F5" s="107">
        <f t="shared" si="0"/>
        <v>74</v>
      </c>
      <c r="G5" s="108">
        <v>2238</v>
      </c>
      <c r="H5" s="108" t="s">
        <v>313</v>
      </c>
      <c r="I5" s="109">
        <f t="shared" si="1"/>
        <v>3.1797044494550602E-3</v>
      </c>
      <c r="J5" s="110">
        <f>G5*'Target revenue sheet'!$F$19</f>
        <v>760.92000000000007</v>
      </c>
      <c r="K5" s="111">
        <v>738</v>
      </c>
      <c r="L5" s="112">
        <f t="shared" si="2"/>
        <v>2.7268192650889544E-3</v>
      </c>
      <c r="M5" s="113">
        <f>K5*'Target revenue sheet'!$F$20</f>
        <v>656.82</v>
      </c>
      <c r="N5" s="114">
        <v>10864</v>
      </c>
      <c r="O5" s="115">
        <f t="shared" si="3"/>
        <v>2.9005357073726844E-3</v>
      </c>
      <c r="P5" s="116">
        <f>N5*'Target revenue sheet'!$F$21</f>
        <v>760.48</v>
      </c>
      <c r="Q5" s="117">
        <v>3356</v>
      </c>
      <c r="R5" s="118">
        <f t="shared" si="4"/>
        <v>8.1505372165769686E-4</v>
      </c>
      <c r="S5" s="119">
        <f>Q5*'Target revenue sheet'!$F$22</f>
        <v>201.35999999999999</v>
      </c>
      <c r="T5" s="120">
        <f>'Target revenue sheet'!$F$2</f>
        <v>1000</v>
      </c>
      <c r="U5" s="121">
        <f>(C5-1)*'Target revenue sheet'!$F$1</f>
        <v>0</v>
      </c>
      <c r="V5" s="122">
        <f t="shared" si="5"/>
        <v>3379.5800000000004</v>
      </c>
      <c r="W5" s="123">
        <f>IF(V5&lt;'Target revenue sheet'!$F$3,'Target revenue sheet'!$F$3,V5)</f>
        <v>3379.5800000000004</v>
      </c>
      <c r="X5" s="123"/>
      <c r="Y5" s="124">
        <v>1925</v>
      </c>
      <c r="Z5" s="125">
        <f t="shared" si="6"/>
        <v>2.6247434909770183E-3</v>
      </c>
      <c r="AA5" s="126">
        <f t="shared" si="7"/>
        <v>48</v>
      </c>
      <c r="AB5" s="151">
        <v>1900</v>
      </c>
      <c r="AC5" s="127">
        <v>2090</v>
      </c>
      <c r="AD5" s="128">
        <f t="shared" si="8"/>
        <v>2269.895</v>
      </c>
      <c r="AE5" s="129">
        <f t="shared" si="9"/>
        <v>226.98950000000002</v>
      </c>
      <c r="AF5" s="130">
        <f t="shared" si="10"/>
        <v>2496.8845000000001</v>
      </c>
      <c r="AG5" s="131">
        <f t="shared" si="11"/>
        <v>2639.79</v>
      </c>
      <c r="AH5" s="132">
        <f t="shared" si="12"/>
        <v>263.97899999999998</v>
      </c>
      <c r="AI5" s="133">
        <f t="shared" si="13"/>
        <v>2903.7689999999998</v>
      </c>
      <c r="AJ5" s="134">
        <f t="shared" si="14"/>
        <v>3009.6850000000004</v>
      </c>
      <c r="AK5" s="135">
        <f t="shared" si="15"/>
        <v>300.96850000000006</v>
      </c>
      <c r="AL5" s="136">
        <f t="shared" si="16"/>
        <v>3310.6535000000003</v>
      </c>
      <c r="AM5" s="137">
        <f t="shared" si="17"/>
        <v>3379.5800000000004</v>
      </c>
      <c r="AN5" s="137">
        <f t="shared" si="18"/>
        <v>337.95800000000008</v>
      </c>
      <c r="AO5" s="138">
        <f t="shared" si="19"/>
        <v>3717.5380000000005</v>
      </c>
      <c r="AP5" s="139">
        <f t="shared" si="20"/>
        <v>1479.5800000000004</v>
      </c>
      <c r="AQ5" s="140">
        <f t="shared" si="21"/>
        <v>0.77872631578947393</v>
      </c>
      <c r="AR5" s="141">
        <f t="shared" si="22"/>
        <v>3.4835699139619028E-3</v>
      </c>
      <c r="AS5" s="142">
        <f t="shared" si="23"/>
        <v>79</v>
      </c>
      <c r="AT5" s="143" t="str">
        <f t="shared" si="24"/>
        <v/>
      </c>
      <c r="AU5" s="144" t="str">
        <f t="shared" si="25"/>
        <v/>
      </c>
      <c r="AV5" s="260">
        <v>875</v>
      </c>
      <c r="AW5" s="146" t="str">
        <f t="shared" si="26"/>
        <v/>
      </c>
      <c r="AX5" s="146">
        <f t="shared" si="27"/>
        <v>3379.5800000000004</v>
      </c>
      <c r="AY5" s="146" t="str">
        <f t="shared" si="28"/>
        <v/>
      </c>
      <c r="AZ5" s="146" t="str">
        <f t="shared" si="29"/>
        <v/>
      </c>
      <c r="BA5" s="42">
        <v>4</v>
      </c>
    </row>
    <row r="6" spans="1:53" ht="18" customHeight="1" x14ac:dyDescent="0.25">
      <c r="A6" s="147" t="s">
        <v>26</v>
      </c>
      <c r="B6" s="105" t="s">
        <v>27</v>
      </c>
      <c r="C6" s="147">
        <v>1</v>
      </c>
      <c r="D6" s="106" t="s">
        <v>325</v>
      </c>
      <c r="E6" s="107">
        <v>204</v>
      </c>
      <c r="F6" s="107">
        <f t="shared" si="0"/>
        <v>52</v>
      </c>
      <c r="G6" s="108">
        <v>2574</v>
      </c>
      <c r="H6" s="108" t="s">
        <v>313</v>
      </c>
      <c r="I6" s="109">
        <f t="shared" si="1"/>
        <v>3.6570863507137284E-3</v>
      </c>
      <c r="J6" s="110">
        <f>G6*'Target revenue sheet'!$F$19</f>
        <v>875.16000000000008</v>
      </c>
      <c r="K6" s="111">
        <v>827</v>
      </c>
      <c r="L6" s="112">
        <f t="shared" si="2"/>
        <v>3.0556633228029338E-3</v>
      </c>
      <c r="M6" s="113">
        <f>K6*'Target revenue sheet'!$F$20</f>
        <v>736.03</v>
      </c>
      <c r="N6" s="114">
        <v>22845</v>
      </c>
      <c r="O6" s="115">
        <f t="shared" si="3"/>
        <v>6.0992947565288082E-3</v>
      </c>
      <c r="P6" s="116">
        <f>N6*'Target revenue sheet'!$F$21</f>
        <v>1599.15</v>
      </c>
      <c r="Q6" s="117">
        <v>14519</v>
      </c>
      <c r="R6" s="118">
        <f t="shared" si="4"/>
        <v>3.5261516641084925E-3</v>
      </c>
      <c r="S6" s="119">
        <f>Q6*'Target revenue sheet'!$F$22</f>
        <v>871.14</v>
      </c>
      <c r="T6" s="120">
        <f>'Target revenue sheet'!$F$2</f>
        <v>1000</v>
      </c>
      <c r="U6" s="121">
        <f>(C6-1)*'Target revenue sheet'!$F$1</f>
        <v>0</v>
      </c>
      <c r="V6" s="122">
        <f t="shared" si="5"/>
        <v>5081.4799999999996</v>
      </c>
      <c r="W6" s="123">
        <f>IF(V6&lt;'Target revenue sheet'!$F$3,'Target revenue sheet'!$F$3,V6)</f>
        <v>5081.4799999999996</v>
      </c>
      <c r="X6" s="123"/>
      <c r="Y6" s="124">
        <v>2930</v>
      </c>
      <c r="Z6" s="125">
        <f t="shared" si="6"/>
        <v>3.9950641187338513E-3</v>
      </c>
      <c r="AA6" s="126">
        <f t="shared" si="7"/>
        <v>29</v>
      </c>
      <c r="AB6" s="127">
        <v>3080</v>
      </c>
      <c r="AC6" s="127"/>
      <c r="AD6" s="128">
        <f t="shared" si="8"/>
        <v>3580.37</v>
      </c>
      <c r="AE6" s="129">
        <f t="shared" si="9"/>
        <v>0</v>
      </c>
      <c r="AF6" s="130">
        <f t="shared" si="10"/>
        <v>3580.37</v>
      </c>
      <c r="AG6" s="131">
        <f t="shared" si="11"/>
        <v>4080.74</v>
      </c>
      <c r="AH6" s="132">
        <f t="shared" si="12"/>
        <v>0</v>
      </c>
      <c r="AI6" s="133">
        <f t="shared" si="13"/>
        <v>4080.74</v>
      </c>
      <c r="AJ6" s="134">
        <f t="shared" si="14"/>
        <v>4581.1099999999997</v>
      </c>
      <c r="AK6" s="135">
        <f t="shared" si="15"/>
        <v>0</v>
      </c>
      <c r="AL6" s="136">
        <f t="shared" si="16"/>
        <v>4581.1099999999997</v>
      </c>
      <c r="AM6" s="137">
        <f t="shared" si="17"/>
        <v>5081.4799999999996</v>
      </c>
      <c r="AN6" s="137">
        <f t="shared" si="18"/>
        <v>0</v>
      </c>
      <c r="AO6" s="138">
        <f t="shared" si="19"/>
        <v>5081.4799999999996</v>
      </c>
      <c r="AP6" s="139">
        <f t="shared" si="20"/>
        <v>2001.4799999999996</v>
      </c>
      <c r="AQ6" s="140">
        <f t="shared" si="21"/>
        <v>0.64983116883116865</v>
      </c>
      <c r="AR6" s="141">
        <f t="shared" si="22"/>
        <v>4.7616704513576257E-3</v>
      </c>
      <c r="AS6" s="142">
        <f t="shared" si="23"/>
        <v>53</v>
      </c>
      <c r="AT6" s="143" t="str">
        <f t="shared" si="24"/>
        <v/>
      </c>
      <c r="AU6" s="144" t="str">
        <f t="shared" si="25"/>
        <v/>
      </c>
      <c r="AV6" s="260">
        <v>1750</v>
      </c>
      <c r="AW6" s="146" t="str">
        <f t="shared" si="26"/>
        <v/>
      </c>
      <c r="AX6" s="146">
        <f t="shared" si="27"/>
        <v>5081.4799999999996</v>
      </c>
      <c r="AY6" s="146" t="str">
        <f t="shared" si="28"/>
        <v/>
      </c>
      <c r="AZ6" s="146" t="str">
        <f t="shared" si="29"/>
        <v/>
      </c>
      <c r="BA6" s="42">
        <v>5</v>
      </c>
    </row>
    <row r="7" spans="1:53" ht="18" customHeight="1" x14ac:dyDescent="0.25">
      <c r="A7" s="147" t="s">
        <v>36</v>
      </c>
      <c r="B7" s="105" t="s">
        <v>37</v>
      </c>
      <c r="C7" s="147">
        <v>1</v>
      </c>
      <c r="D7" s="106" t="s">
        <v>325</v>
      </c>
      <c r="E7" s="107">
        <v>137</v>
      </c>
      <c r="F7" s="107">
        <f t="shared" si="0"/>
        <v>34</v>
      </c>
      <c r="G7" s="108">
        <v>6238</v>
      </c>
      <c r="H7" s="108" t="s">
        <v>312</v>
      </c>
      <c r="I7" s="109">
        <f t="shared" si="1"/>
        <v>8.8628223215820659E-3</v>
      </c>
      <c r="J7" s="110">
        <f>G7*'Target revenue sheet'!$F$19</f>
        <v>2120.92</v>
      </c>
      <c r="K7" s="111">
        <v>1421</v>
      </c>
      <c r="L7" s="112">
        <f t="shared" si="2"/>
        <v>5.2504202922647753E-3</v>
      </c>
      <c r="M7" s="113">
        <f>K7*'Target revenue sheet'!$F$20</f>
        <v>1264.69</v>
      </c>
      <c r="N7" s="114">
        <v>26396</v>
      </c>
      <c r="O7" s="115">
        <f t="shared" si="3"/>
        <v>7.0473619782593314E-3</v>
      </c>
      <c r="P7" s="116">
        <f>N7*'Target revenue sheet'!$F$21</f>
        <v>1847.7200000000003</v>
      </c>
      <c r="Q7" s="117">
        <v>22487</v>
      </c>
      <c r="R7" s="118">
        <f t="shared" si="4"/>
        <v>5.4612970914531076E-3</v>
      </c>
      <c r="S7" s="119">
        <f>Q7*'Target revenue sheet'!$F$22</f>
        <v>1349.22</v>
      </c>
      <c r="T7" s="120">
        <f>'Target revenue sheet'!$F$2</f>
        <v>1000</v>
      </c>
      <c r="U7" s="121">
        <f>(C7-1)*'Target revenue sheet'!$F$1</f>
        <v>0</v>
      </c>
      <c r="V7" s="122">
        <f t="shared" si="5"/>
        <v>7582.55</v>
      </c>
      <c r="W7" s="123">
        <f>IF(V7&lt;'Target revenue sheet'!$F$3,'Target revenue sheet'!$F$3,V7)</f>
        <v>7582.55</v>
      </c>
      <c r="X7" s="123"/>
      <c r="Y7" s="124">
        <v>2930</v>
      </c>
      <c r="Z7" s="125">
        <f t="shared" si="6"/>
        <v>3.9950641187338513E-3</v>
      </c>
      <c r="AA7" s="126">
        <f t="shared" si="7"/>
        <v>29</v>
      </c>
      <c r="AB7" s="127">
        <v>3080</v>
      </c>
      <c r="AC7" s="127"/>
      <c r="AD7" s="128">
        <f t="shared" si="8"/>
        <v>4205.6374999999998</v>
      </c>
      <c r="AE7" s="129">
        <f t="shared" si="9"/>
        <v>0</v>
      </c>
      <c r="AF7" s="130">
        <f t="shared" si="10"/>
        <v>4205.6374999999998</v>
      </c>
      <c r="AG7" s="131">
        <f t="shared" si="11"/>
        <v>5331.2749999999996</v>
      </c>
      <c r="AH7" s="132">
        <f t="shared" si="12"/>
        <v>0</v>
      </c>
      <c r="AI7" s="133">
        <f t="shared" si="13"/>
        <v>5331.2749999999996</v>
      </c>
      <c r="AJ7" s="134">
        <f t="shared" si="14"/>
        <v>6456.9125000000004</v>
      </c>
      <c r="AK7" s="135">
        <f t="shared" si="15"/>
        <v>0</v>
      </c>
      <c r="AL7" s="136">
        <f t="shared" si="16"/>
        <v>6456.9125000000004</v>
      </c>
      <c r="AM7" s="137">
        <f t="shared" si="17"/>
        <v>7582.55</v>
      </c>
      <c r="AN7" s="137">
        <f t="shared" si="18"/>
        <v>0</v>
      </c>
      <c r="AO7" s="138">
        <f t="shared" si="19"/>
        <v>7582.55</v>
      </c>
      <c r="AP7" s="139">
        <f t="shared" si="20"/>
        <v>4502.55</v>
      </c>
      <c r="AQ7" s="140">
        <f t="shared" si="21"/>
        <v>1.4618668831168833</v>
      </c>
      <c r="AR7" s="141">
        <f t="shared" si="22"/>
        <v>7.1053323600489956E-3</v>
      </c>
      <c r="AS7" s="142">
        <f t="shared" si="23"/>
        <v>34</v>
      </c>
      <c r="AT7" s="143">
        <f t="shared" si="24"/>
        <v>4502.55</v>
      </c>
      <c r="AU7" s="144" t="str">
        <f t="shared" si="25"/>
        <v/>
      </c>
      <c r="AV7" s="260">
        <v>1750</v>
      </c>
      <c r="AW7" s="146" t="str">
        <f t="shared" si="26"/>
        <v/>
      </c>
      <c r="AX7" s="146" t="str">
        <f t="shared" si="27"/>
        <v/>
      </c>
      <c r="AY7" s="146">
        <f t="shared" si="28"/>
        <v>7582.55</v>
      </c>
      <c r="AZ7" s="146" t="str">
        <f t="shared" si="29"/>
        <v/>
      </c>
      <c r="BA7" s="42">
        <v>10</v>
      </c>
    </row>
    <row r="8" spans="1:53" ht="18" customHeight="1" x14ac:dyDescent="0.25">
      <c r="A8" s="147" t="s">
        <v>32</v>
      </c>
      <c r="B8" s="105" t="s">
        <v>33</v>
      </c>
      <c r="C8" s="147">
        <v>1</v>
      </c>
      <c r="D8" s="106" t="s">
        <v>325</v>
      </c>
      <c r="E8" s="107">
        <v>267</v>
      </c>
      <c r="F8" s="107">
        <f t="shared" si="0"/>
        <v>67</v>
      </c>
      <c r="G8" s="108">
        <v>1437</v>
      </c>
      <c r="H8" s="108" t="s">
        <v>311</v>
      </c>
      <c r="I8" s="109">
        <f t="shared" si="1"/>
        <v>2.041660095561627E-3</v>
      </c>
      <c r="J8" s="110">
        <f>G8*'Target revenue sheet'!$F$19</f>
        <v>488.58000000000004</v>
      </c>
      <c r="K8" s="111">
        <v>466</v>
      </c>
      <c r="L8" s="112">
        <f t="shared" si="2"/>
        <v>1.7218127066821851E-3</v>
      </c>
      <c r="M8" s="113">
        <f>K8*'Target revenue sheet'!$F$20</f>
        <v>414.74</v>
      </c>
      <c r="N8" s="114">
        <v>17088</v>
      </c>
      <c r="O8" s="115">
        <f t="shared" si="3"/>
        <v>4.5622564587246344E-3</v>
      </c>
      <c r="P8" s="116">
        <f>N8*'Target revenue sheet'!$F$21</f>
        <v>1196.1600000000001</v>
      </c>
      <c r="Q8" s="117">
        <v>14250</v>
      </c>
      <c r="R8" s="118">
        <f t="shared" si="4"/>
        <v>3.4608210767646543E-3</v>
      </c>
      <c r="S8" s="119">
        <f>Q8*'Target revenue sheet'!$F$22</f>
        <v>855</v>
      </c>
      <c r="T8" s="120">
        <f>'Target revenue sheet'!$F$2</f>
        <v>1000</v>
      </c>
      <c r="U8" s="121">
        <f>(C8-1)*'Target revenue sheet'!$F$1</f>
        <v>0</v>
      </c>
      <c r="V8" s="122">
        <f t="shared" si="5"/>
        <v>3954.48</v>
      </c>
      <c r="W8" s="123">
        <f>IF(V8&lt;'Target revenue sheet'!$F$3,'Target revenue sheet'!$F$3,V8)</f>
        <v>3954.48</v>
      </c>
      <c r="X8" s="123"/>
      <c r="Y8" s="124">
        <v>2930</v>
      </c>
      <c r="Z8" s="125">
        <f t="shared" si="6"/>
        <v>3.9950641187338513E-3</v>
      </c>
      <c r="AA8" s="126">
        <f t="shared" si="7"/>
        <v>29</v>
      </c>
      <c r="AB8" s="127">
        <v>3080</v>
      </c>
      <c r="AC8" s="127"/>
      <c r="AD8" s="128">
        <f t="shared" si="8"/>
        <v>3298.62</v>
      </c>
      <c r="AE8" s="129">
        <f t="shared" si="9"/>
        <v>0</v>
      </c>
      <c r="AF8" s="130">
        <f t="shared" si="10"/>
        <v>3298.62</v>
      </c>
      <c r="AG8" s="131">
        <f t="shared" si="11"/>
        <v>3517.24</v>
      </c>
      <c r="AH8" s="132">
        <f t="shared" si="12"/>
        <v>0</v>
      </c>
      <c r="AI8" s="133">
        <f t="shared" si="13"/>
        <v>3517.24</v>
      </c>
      <c r="AJ8" s="134">
        <f t="shared" si="14"/>
        <v>3735.86</v>
      </c>
      <c r="AK8" s="135">
        <f t="shared" si="15"/>
        <v>0</v>
      </c>
      <c r="AL8" s="136">
        <f t="shared" si="16"/>
        <v>3735.86</v>
      </c>
      <c r="AM8" s="137">
        <f t="shared" si="17"/>
        <v>3954.48</v>
      </c>
      <c r="AN8" s="137">
        <f t="shared" si="18"/>
        <v>0</v>
      </c>
      <c r="AO8" s="138">
        <f t="shared" si="19"/>
        <v>3954.48</v>
      </c>
      <c r="AP8" s="139">
        <f t="shared" si="20"/>
        <v>874.48</v>
      </c>
      <c r="AQ8" s="140">
        <f t="shared" si="21"/>
        <v>0.28392207792207791</v>
      </c>
      <c r="AR8" s="141">
        <f t="shared" si="22"/>
        <v>3.7055996612177372E-3</v>
      </c>
      <c r="AS8" s="142">
        <f t="shared" si="23"/>
        <v>66</v>
      </c>
      <c r="AT8" s="143" t="str">
        <f t="shared" si="24"/>
        <v/>
      </c>
      <c r="AU8" s="144" t="str">
        <f t="shared" si="25"/>
        <v/>
      </c>
      <c r="AV8" s="260">
        <v>3500</v>
      </c>
      <c r="AW8" s="146">
        <f t="shared" si="26"/>
        <v>3954.48</v>
      </c>
      <c r="AX8" s="146" t="str">
        <f t="shared" si="27"/>
        <v/>
      </c>
      <c r="AY8" s="146" t="str">
        <f t="shared" si="28"/>
        <v/>
      </c>
      <c r="AZ8" s="146" t="str">
        <f t="shared" si="29"/>
        <v/>
      </c>
      <c r="BA8" s="42">
        <v>8</v>
      </c>
    </row>
    <row r="9" spans="1:53" ht="18" customHeight="1" x14ac:dyDescent="0.25">
      <c r="A9" s="147" t="s">
        <v>28</v>
      </c>
      <c r="B9" s="105" t="s">
        <v>29</v>
      </c>
      <c r="C9" s="147">
        <v>1</v>
      </c>
      <c r="D9" s="106" t="s">
        <v>325</v>
      </c>
      <c r="E9" s="107">
        <v>152</v>
      </c>
      <c r="F9" s="107">
        <f t="shared" si="0"/>
        <v>36</v>
      </c>
      <c r="G9" s="108">
        <v>5951</v>
      </c>
      <c r="H9" s="108" t="s">
        <v>312</v>
      </c>
      <c r="I9" s="109">
        <f t="shared" si="1"/>
        <v>8.455058614256954E-3</v>
      </c>
      <c r="J9" s="110">
        <f>G9*'Target revenue sheet'!$F$19</f>
        <v>2023.3400000000001</v>
      </c>
      <c r="K9" s="111">
        <v>2445</v>
      </c>
      <c r="L9" s="112">
        <f t="shared" si="2"/>
        <v>9.0339743945020232E-3</v>
      </c>
      <c r="M9" s="113">
        <f>K9*'Target revenue sheet'!$F$20</f>
        <v>2176.0500000000002</v>
      </c>
      <c r="N9" s="114">
        <v>25681</v>
      </c>
      <c r="O9" s="115">
        <f t="shared" si="3"/>
        <v>6.8564670012001023E-3</v>
      </c>
      <c r="P9" s="116">
        <f>N9*'Target revenue sheet'!$F$21</f>
        <v>1797.67</v>
      </c>
      <c r="Q9" s="117">
        <v>7091</v>
      </c>
      <c r="R9" s="118">
        <f t="shared" si="4"/>
        <v>1.7221531407254852E-3</v>
      </c>
      <c r="S9" s="119">
        <f>Q9*'Target revenue sheet'!$F$22</f>
        <v>425.46</v>
      </c>
      <c r="T9" s="120">
        <f>'Target revenue sheet'!$F$2</f>
        <v>1000</v>
      </c>
      <c r="U9" s="121">
        <f>(C9-1)*'Target revenue sheet'!$F$1</f>
        <v>0</v>
      </c>
      <c r="V9" s="122">
        <f t="shared" si="5"/>
        <v>7422.52</v>
      </c>
      <c r="W9" s="123">
        <f>IF(V9&lt;'Target revenue sheet'!$F$3,'Target revenue sheet'!$F$3,V9)</f>
        <v>7422.52</v>
      </c>
      <c r="X9" s="123"/>
      <c r="Y9" s="124">
        <v>2930</v>
      </c>
      <c r="Z9" s="125">
        <f t="shared" si="6"/>
        <v>3.9950641187338513E-3</v>
      </c>
      <c r="AA9" s="126">
        <f t="shared" si="7"/>
        <v>29</v>
      </c>
      <c r="AB9" s="127">
        <v>3080</v>
      </c>
      <c r="AC9" s="127"/>
      <c r="AD9" s="128">
        <f t="shared" si="8"/>
        <v>4165.63</v>
      </c>
      <c r="AE9" s="129">
        <f t="shared" si="9"/>
        <v>0</v>
      </c>
      <c r="AF9" s="130">
        <f t="shared" si="10"/>
        <v>4165.63</v>
      </c>
      <c r="AG9" s="131">
        <f t="shared" si="11"/>
        <v>5251.26</v>
      </c>
      <c r="AH9" s="132">
        <f t="shared" si="12"/>
        <v>0</v>
      </c>
      <c r="AI9" s="133">
        <f t="shared" si="13"/>
        <v>5251.26</v>
      </c>
      <c r="AJ9" s="134">
        <f t="shared" si="14"/>
        <v>6336.89</v>
      </c>
      <c r="AK9" s="135">
        <f t="shared" si="15"/>
        <v>0</v>
      </c>
      <c r="AL9" s="136">
        <f t="shared" si="16"/>
        <v>6336.89</v>
      </c>
      <c r="AM9" s="137">
        <f t="shared" si="17"/>
        <v>7422.52</v>
      </c>
      <c r="AN9" s="137">
        <f t="shared" si="18"/>
        <v>0</v>
      </c>
      <c r="AO9" s="138">
        <f t="shared" si="19"/>
        <v>7422.52</v>
      </c>
      <c r="AP9" s="139">
        <f t="shared" si="20"/>
        <v>4342.5200000000004</v>
      </c>
      <c r="AQ9" s="140">
        <f t="shared" si="21"/>
        <v>1.409909090909091</v>
      </c>
      <c r="AR9" s="141">
        <f t="shared" si="22"/>
        <v>6.9553740561039325E-3</v>
      </c>
      <c r="AS9" s="142">
        <f t="shared" si="23"/>
        <v>35</v>
      </c>
      <c r="AT9" s="143">
        <f t="shared" si="24"/>
        <v>4342.5200000000004</v>
      </c>
      <c r="AU9" s="144" t="str">
        <f t="shared" si="25"/>
        <v/>
      </c>
      <c r="AV9" s="261">
        <v>3500</v>
      </c>
      <c r="AW9" s="146" t="str">
        <f t="shared" si="26"/>
        <v/>
      </c>
      <c r="AX9" s="146" t="str">
        <f t="shared" si="27"/>
        <v/>
      </c>
      <c r="AY9" s="146">
        <f t="shared" si="28"/>
        <v>7422.52</v>
      </c>
      <c r="AZ9" s="146" t="str">
        <f t="shared" si="29"/>
        <v/>
      </c>
      <c r="BA9" s="42">
        <v>6</v>
      </c>
    </row>
    <row r="10" spans="1:53" ht="18" customHeight="1" x14ac:dyDescent="0.25">
      <c r="A10" s="104" t="s">
        <v>30</v>
      </c>
      <c r="B10" s="152" t="s">
        <v>31</v>
      </c>
      <c r="C10" s="104">
        <v>1</v>
      </c>
      <c r="D10" s="106" t="s">
        <v>325</v>
      </c>
      <c r="E10" s="107">
        <v>196</v>
      </c>
      <c r="F10" s="107">
        <f t="shared" si="0"/>
        <v>48</v>
      </c>
      <c r="G10" s="108">
        <v>1927</v>
      </c>
      <c r="H10" s="108" t="s">
        <v>311</v>
      </c>
      <c r="I10" s="109">
        <f t="shared" si="1"/>
        <v>2.7378420348971853E-3</v>
      </c>
      <c r="J10" s="110">
        <f>G10*'Target revenue sheet'!$F$19</f>
        <v>655.18000000000006</v>
      </c>
      <c r="K10" s="111">
        <v>1088</v>
      </c>
      <c r="L10" s="112">
        <f t="shared" si="2"/>
        <v>4.0200262336270763E-3</v>
      </c>
      <c r="M10" s="113">
        <f>K10*'Target revenue sheet'!$F$20</f>
        <v>968.32</v>
      </c>
      <c r="N10" s="114">
        <v>38423</v>
      </c>
      <c r="O10" s="115">
        <f t="shared" si="3"/>
        <v>1.0258402382582903E-2</v>
      </c>
      <c r="P10" s="116">
        <f>N10*'Target revenue sheet'!$F$21</f>
        <v>2689.61</v>
      </c>
      <c r="Q10" s="117">
        <v>9335</v>
      </c>
      <c r="R10" s="118">
        <f t="shared" si="4"/>
        <v>2.267141386077056E-3</v>
      </c>
      <c r="S10" s="119">
        <f>Q10*'Target revenue sheet'!$F$22</f>
        <v>560.1</v>
      </c>
      <c r="T10" s="120">
        <f>'Target revenue sheet'!$F$2</f>
        <v>1000</v>
      </c>
      <c r="U10" s="121">
        <f>(C10-1)*'Target revenue sheet'!$F$1</f>
        <v>0</v>
      </c>
      <c r="V10" s="122">
        <f t="shared" si="5"/>
        <v>5873.2100000000009</v>
      </c>
      <c r="W10" s="123">
        <f>IF(V10&lt;'Target revenue sheet'!$F$3,'Target revenue sheet'!$F$3,V10)</f>
        <v>5873.2100000000009</v>
      </c>
      <c r="X10" s="123"/>
      <c r="Y10" s="124">
        <v>1750</v>
      </c>
      <c r="Z10" s="125">
        <f t="shared" si="6"/>
        <v>2.3861304463427438E-3</v>
      </c>
      <c r="AA10" s="126">
        <f t="shared" si="7"/>
        <v>58</v>
      </c>
      <c r="AB10" s="127">
        <v>1900</v>
      </c>
      <c r="AC10" s="127"/>
      <c r="AD10" s="128">
        <f t="shared" si="8"/>
        <v>2893.3025000000002</v>
      </c>
      <c r="AE10" s="129">
        <f t="shared" si="9"/>
        <v>0</v>
      </c>
      <c r="AF10" s="130">
        <f t="shared" si="10"/>
        <v>2893.3025000000002</v>
      </c>
      <c r="AG10" s="131">
        <f t="shared" si="11"/>
        <v>3886.6050000000005</v>
      </c>
      <c r="AH10" s="132">
        <f t="shared" si="12"/>
        <v>0</v>
      </c>
      <c r="AI10" s="133">
        <f t="shared" si="13"/>
        <v>3886.6050000000005</v>
      </c>
      <c r="AJ10" s="134">
        <f t="shared" si="14"/>
        <v>4879.9075000000012</v>
      </c>
      <c r="AK10" s="135">
        <f t="shared" si="15"/>
        <v>0</v>
      </c>
      <c r="AL10" s="136">
        <f t="shared" si="16"/>
        <v>4879.9075000000012</v>
      </c>
      <c r="AM10" s="137">
        <f t="shared" si="17"/>
        <v>5873.2100000000009</v>
      </c>
      <c r="AN10" s="137">
        <f t="shared" si="18"/>
        <v>0</v>
      </c>
      <c r="AO10" s="138">
        <f t="shared" si="19"/>
        <v>5873.2100000000009</v>
      </c>
      <c r="AP10" s="139">
        <f t="shared" si="20"/>
        <v>3973.2100000000009</v>
      </c>
      <c r="AQ10" s="140">
        <f t="shared" si="21"/>
        <v>2.0911631578947372</v>
      </c>
      <c r="AR10" s="141">
        <f t="shared" si="22"/>
        <v>5.5035718947271522E-3</v>
      </c>
      <c r="AS10" s="142">
        <f t="shared" si="23"/>
        <v>43</v>
      </c>
      <c r="AT10" s="143">
        <f t="shared" si="24"/>
        <v>3973.2100000000009</v>
      </c>
      <c r="AU10" s="144">
        <f t="shared" si="25"/>
        <v>3973.2100000000009</v>
      </c>
      <c r="AV10" s="260">
        <v>1750</v>
      </c>
      <c r="AW10" s="146">
        <f t="shared" si="26"/>
        <v>5873.2100000000009</v>
      </c>
      <c r="AX10" s="146" t="str">
        <f t="shared" si="27"/>
        <v/>
      </c>
      <c r="AY10" s="146" t="str">
        <f t="shared" si="28"/>
        <v/>
      </c>
      <c r="AZ10" s="146" t="str">
        <f t="shared" si="29"/>
        <v/>
      </c>
      <c r="BA10" s="42">
        <v>7</v>
      </c>
    </row>
    <row r="11" spans="1:53" ht="18" customHeight="1" x14ac:dyDescent="0.25">
      <c r="A11" s="104" t="s">
        <v>34</v>
      </c>
      <c r="B11" s="105" t="s">
        <v>35</v>
      </c>
      <c r="C11" s="104">
        <v>1</v>
      </c>
      <c r="D11" s="106" t="s">
        <v>325</v>
      </c>
      <c r="E11" s="107">
        <v>154</v>
      </c>
      <c r="F11" s="107">
        <f t="shared" si="0"/>
        <v>37</v>
      </c>
      <c r="G11" s="108">
        <v>3853</v>
      </c>
      <c r="H11" s="108" t="s">
        <v>313</v>
      </c>
      <c r="I11" s="109">
        <f t="shared" si="1"/>
        <v>5.4742632903263385E-3</v>
      </c>
      <c r="J11" s="110">
        <f>G11*'Target revenue sheet'!$F$19</f>
        <v>1310.02</v>
      </c>
      <c r="K11" s="111">
        <v>1543</v>
      </c>
      <c r="L11" s="112">
        <f t="shared" si="2"/>
        <v>5.7011952927266346E-3</v>
      </c>
      <c r="M11" s="113">
        <f>K11*'Target revenue sheet'!$F$20</f>
        <v>1373.27</v>
      </c>
      <c r="N11" s="114">
        <v>23881</v>
      </c>
      <c r="O11" s="115">
        <f t="shared" si="3"/>
        <v>6.3758922337782652E-3</v>
      </c>
      <c r="P11" s="116">
        <f>N11*'Target revenue sheet'!$F$21</f>
        <v>1671.67</v>
      </c>
      <c r="Q11" s="117">
        <v>25581</v>
      </c>
      <c r="R11" s="118">
        <f t="shared" si="4"/>
        <v>6.2127202782257277E-3</v>
      </c>
      <c r="S11" s="119">
        <f>Q11*'Target revenue sheet'!$F$22</f>
        <v>1534.86</v>
      </c>
      <c r="T11" s="120">
        <f>'Target revenue sheet'!$F$2</f>
        <v>1000</v>
      </c>
      <c r="U11" s="121">
        <f>(C11-1)*'Target revenue sheet'!$F$1</f>
        <v>0</v>
      </c>
      <c r="V11" s="122">
        <f t="shared" si="5"/>
        <v>6889.82</v>
      </c>
      <c r="W11" s="123">
        <f>IF(V11&lt;'Target revenue sheet'!$F$3,'Target revenue sheet'!$F$3,V11)</f>
        <v>6889.82</v>
      </c>
      <c r="X11" s="123"/>
      <c r="Y11" s="124">
        <v>5286</v>
      </c>
      <c r="Z11" s="125">
        <f t="shared" si="6"/>
        <v>7.2074774510672819E-3</v>
      </c>
      <c r="AA11" s="126">
        <f t="shared" si="7"/>
        <v>21</v>
      </c>
      <c r="AB11" s="127">
        <v>5445</v>
      </c>
      <c r="AC11" s="127"/>
      <c r="AD11" s="128">
        <f t="shared" si="8"/>
        <v>5806.2049999999999</v>
      </c>
      <c r="AE11" s="129">
        <f t="shared" si="9"/>
        <v>0</v>
      </c>
      <c r="AF11" s="130">
        <f t="shared" si="10"/>
        <v>5806.2049999999999</v>
      </c>
      <c r="AG11" s="131">
        <f t="shared" si="11"/>
        <v>6167.41</v>
      </c>
      <c r="AH11" s="132">
        <f t="shared" si="12"/>
        <v>0</v>
      </c>
      <c r="AI11" s="133">
        <f t="shared" si="13"/>
        <v>6167.41</v>
      </c>
      <c r="AJ11" s="134">
        <f t="shared" si="14"/>
        <v>6528.6149999999998</v>
      </c>
      <c r="AK11" s="135">
        <f t="shared" si="15"/>
        <v>0</v>
      </c>
      <c r="AL11" s="136">
        <f t="shared" si="16"/>
        <v>6528.6149999999998</v>
      </c>
      <c r="AM11" s="137">
        <f t="shared" si="17"/>
        <v>6889.82</v>
      </c>
      <c r="AN11" s="137">
        <f t="shared" si="18"/>
        <v>0</v>
      </c>
      <c r="AO11" s="138">
        <f t="shared" si="19"/>
        <v>6889.82</v>
      </c>
      <c r="AP11" s="139">
        <f t="shared" si="20"/>
        <v>1444.8199999999997</v>
      </c>
      <c r="AQ11" s="140">
        <f t="shared" si="21"/>
        <v>0.26534802571166199</v>
      </c>
      <c r="AR11" s="141">
        <f t="shared" si="22"/>
        <v>6.456200223000543E-3</v>
      </c>
      <c r="AS11" s="142">
        <f t="shared" si="23"/>
        <v>39</v>
      </c>
      <c r="AT11" s="143" t="str">
        <f t="shared" si="24"/>
        <v/>
      </c>
      <c r="AU11" s="144" t="str">
        <f t="shared" si="25"/>
        <v/>
      </c>
      <c r="AV11" s="260">
        <v>875</v>
      </c>
      <c r="AW11" s="146" t="str">
        <f t="shared" si="26"/>
        <v/>
      </c>
      <c r="AX11" s="146">
        <f t="shared" si="27"/>
        <v>6889.82</v>
      </c>
      <c r="AY11" s="146" t="str">
        <f t="shared" si="28"/>
        <v/>
      </c>
      <c r="AZ11" s="146" t="str">
        <f t="shared" si="29"/>
        <v/>
      </c>
      <c r="BA11" s="42">
        <v>9</v>
      </c>
    </row>
    <row r="12" spans="1:53" ht="18" customHeight="1" x14ac:dyDescent="0.25">
      <c r="A12" s="104" t="s">
        <v>38</v>
      </c>
      <c r="B12" s="152" t="s">
        <v>39</v>
      </c>
      <c r="C12" s="104">
        <v>1</v>
      </c>
      <c r="D12" s="106" t="s">
        <v>325</v>
      </c>
      <c r="E12" s="107">
        <v>229</v>
      </c>
      <c r="F12" s="107">
        <f t="shared" si="0"/>
        <v>58</v>
      </c>
      <c r="G12" s="108">
        <v>3833</v>
      </c>
      <c r="H12" s="108" t="s">
        <v>313</v>
      </c>
      <c r="I12" s="109">
        <f t="shared" si="1"/>
        <v>5.4458477009657041E-3</v>
      </c>
      <c r="J12" s="110">
        <f>G12*'Target revenue sheet'!$F$19</f>
        <v>1303.22</v>
      </c>
      <c r="K12" s="111">
        <v>693</v>
      </c>
      <c r="L12" s="112">
        <f t="shared" si="2"/>
        <v>2.5605497977054812E-3</v>
      </c>
      <c r="M12" s="113">
        <f>K12*'Target revenue sheet'!$F$20</f>
        <v>616.77</v>
      </c>
      <c r="N12" s="114">
        <v>21698</v>
      </c>
      <c r="O12" s="115">
        <f t="shared" si="3"/>
        <v>5.793061835288338E-3</v>
      </c>
      <c r="P12" s="116">
        <f>N12*'Target revenue sheet'!$F$21</f>
        <v>1518.8600000000001</v>
      </c>
      <c r="Q12" s="117">
        <v>6444</v>
      </c>
      <c r="R12" s="118">
        <f t="shared" si="4"/>
        <v>1.5650197206085216E-3</v>
      </c>
      <c r="S12" s="119">
        <f>Q12*'Target revenue sheet'!$F$22</f>
        <v>386.64</v>
      </c>
      <c r="T12" s="120">
        <f>'Target revenue sheet'!$F$2</f>
        <v>1000</v>
      </c>
      <c r="U12" s="121">
        <f>(C12-1)*'Target revenue sheet'!$F$1</f>
        <v>0</v>
      </c>
      <c r="V12" s="122">
        <f t="shared" si="5"/>
        <v>4825.49</v>
      </c>
      <c r="W12" s="123">
        <f>IF(V12&lt;'Target revenue sheet'!$F$3,'Target revenue sheet'!$F$3,V12)</f>
        <v>4825.49</v>
      </c>
      <c r="X12" s="123"/>
      <c r="Y12" s="124">
        <v>1750</v>
      </c>
      <c r="Z12" s="125">
        <f t="shared" si="6"/>
        <v>2.3861304463427438E-3</v>
      </c>
      <c r="AA12" s="126">
        <f t="shared" si="7"/>
        <v>58</v>
      </c>
      <c r="AB12" s="127">
        <v>1900</v>
      </c>
      <c r="AC12" s="127"/>
      <c r="AD12" s="128">
        <f t="shared" si="8"/>
        <v>2631.3724999999999</v>
      </c>
      <c r="AE12" s="129">
        <f t="shared" si="9"/>
        <v>0</v>
      </c>
      <c r="AF12" s="130">
        <f t="shared" si="10"/>
        <v>2631.3724999999999</v>
      </c>
      <c r="AG12" s="131">
        <f t="shared" si="11"/>
        <v>3362.7449999999999</v>
      </c>
      <c r="AH12" s="132">
        <f t="shared" si="12"/>
        <v>0</v>
      </c>
      <c r="AI12" s="133">
        <f t="shared" si="13"/>
        <v>3362.7449999999999</v>
      </c>
      <c r="AJ12" s="134">
        <f t="shared" si="14"/>
        <v>4094.1174999999998</v>
      </c>
      <c r="AK12" s="135">
        <f t="shared" si="15"/>
        <v>0</v>
      </c>
      <c r="AL12" s="136">
        <f t="shared" si="16"/>
        <v>4094.1174999999998</v>
      </c>
      <c r="AM12" s="137">
        <f t="shared" si="17"/>
        <v>4825.49</v>
      </c>
      <c r="AN12" s="137">
        <f t="shared" si="18"/>
        <v>0</v>
      </c>
      <c r="AO12" s="138">
        <f t="shared" si="19"/>
        <v>4825.49</v>
      </c>
      <c r="AP12" s="139">
        <f t="shared" si="20"/>
        <v>2925.49</v>
      </c>
      <c r="AQ12" s="140">
        <f t="shared" si="21"/>
        <v>1.5397315789473682</v>
      </c>
      <c r="AR12" s="141">
        <f t="shared" si="22"/>
        <v>4.5217915147401375E-3</v>
      </c>
      <c r="AS12" s="142">
        <f t="shared" si="23"/>
        <v>57</v>
      </c>
      <c r="AT12" s="143">
        <f t="shared" si="24"/>
        <v>2925.49</v>
      </c>
      <c r="AU12" s="144" t="str">
        <f t="shared" si="25"/>
        <v/>
      </c>
      <c r="AV12" s="260">
        <v>2625</v>
      </c>
      <c r="AW12" s="146" t="str">
        <f t="shared" si="26"/>
        <v/>
      </c>
      <c r="AX12" s="146">
        <f t="shared" si="27"/>
        <v>4825.49</v>
      </c>
      <c r="AY12" s="146" t="str">
        <f t="shared" si="28"/>
        <v/>
      </c>
      <c r="AZ12" s="146" t="str">
        <f t="shared" si="29"/>
        <v/>
      </c>
      <c r="BA12" s="42">
        <v>11</v>
      </c>
    </row>
    <row r="13" spans="1:53" ht="18" customHeight="1" x14ac:dyDescent="0.25">
      <c r="A13" s="147" t="s">
        <v>45</v>
      </c>
      <c r="B13" s="105" t="s">
        <v>46</v>
      </c>
      <c r="C13" s="147">
        <v>1</v>
      </c>
      <c r="D13" s="106" t="s">
        <v>325</v>
      </c>
      <c r="E13" s="107">
        <v>112</v>
      </c>
      <c r="F13" s="107">
        <f t="shared" si="0"/>
        <v>26</v>
      </c>
      <c r="G13" s="108">
        <v>4106</v>
      </c>
      <c r="H13" s="108" t="s">
        <v>312</v>
      </c>
      <c r="I13" s="109">
        <f t="shared" si="1"/>
        <v>5.8337204957383719E-3</v>
      </c>
      <c r="J13" s="110">
        <f>G13*'Target revenue sheet'!$F$19</f>
        <v>1396.0400000000002</v>
      </c>
      <c r="K13" s="111">
        <v>1570</v>
      </c>
      <c r="L13" s="112">
        <f t="shared" si="2"/>
        <v>5.8009569731567179E-3</v>
      </c>
      <c r="M13" s="113">
        <f>K13*'Target revenue sheet'!$F$20</f>
        <v>1397.3</v>
      </c>
      <c r="N13" s="114">
        <v>48799</v>
      </c>
      <c r="O13" s="115">
        <f t="shared" si="3"/>
        <v>1.302864893078789E-2</v>
      </c>
      <c r="P13" s="116">
        <f>N13*'Target revenue sheet'!$F$21</f>
        <v>3415.9300000000003</v>
      </c>
      <c r="Q13" s="117">
        <v>35047</v>
      </c>
      <c r="R13" s="118">
        <f t="shared" si="4"/>
        <v>8.5116769317453225E-3</v>
      </c>
      <c r="S13" s="119">
        <f>Q13*'Target revenue sheet'!$F$22</f>
        <v>2102.8199999999997</v>
      </c>
      <c r="T13" s="120">
        <f>'Target revenue sheet'!$F$2</f>
        <v>1000</v>
      </c>
      <c r="U13" s="121">
        <f>(C13-1)*'Target revenue sheet'!$F$1</f>
        <v>0</v>
      </c>
      <c r="V13" s="122">
        <f t="shared" si="5"/>
        <v>9312.09</v>
      </c>
      <c r="W13" s="123">
        <f>IF(V13&lt;'Target revenue sheet'!$F$3,'Target revenue sheet'!$F$3,V13)</f>
        <v>9312.09</v>
      </c>
      <c r="X13" s="123"/>
      <c r="Y13" s="124">
        <v>2930</v>
      </c>
      <c r="Z13" s="125">
        <f t="shared" si="6"/>
        <v>3.9950641187338513E-3</v>
      </c>
      <c r="AA13" s="126">
        <f t="shared" si="7"/>
        <v>29</v>
      </c>
      <c r="AB13" s="127">
        <v>3080</v>
      </c>
      <c r="AC13" s="127"/>
      <c r="AD13" s="128">
        <f t="shared" si="8"/>
        <v>4638.0225</v>
      </c>
      <c r="AE13" s="129">
        <f t="shared" si="9"/>
        <v>0</v>
      </c>
      <c r="AF13" s="130">
        <f t="shared" si="10"/>
        <v>4638.0225</v>
      </c>
      <c r="AG13" s="131">
        <f t="shared" si="11"/>
        <v>6196.0450000000001</v>
      </c>
      <c r="AH13" s="132">
        <f t="shared" si="12"/>
        <v>0</v>
      </c>
      <c r="AI13" s="133">
        <f t="shared" si="13"/>
        <v>6196.0450000000001</v>
      </c>
      <c r="AJ13" s="134">
        <f t="shared" si="14"/>
        <v>7754.0675000000001</v>
      </c>
      <c r="AK13" s="135">
        <f t="shared" si="15"/>
        <v>0</v>
      </c>
      <c r="AL13" s="136">
        <f t="shared" si="16"/>
        <v>7754.0675000000001</v>
      </c>
      <c r="AM13" s="137">
        <f t="shared" si="17"/>
        <v>9312.09</v>
      </c>
      <c r="AN13" s="137">
        <f t="shared" si="18"/>
        <v>0</v>
      </c>
      <c r="AO13" s="138">
        <f t="shared" si="19"/>
        <v>9312.09</v>
      </c>
      <c r="AP13" s="139">
        <f t="shared" si="20"/>
        <v>6232.09</v>
      </c>
      <c r="AQ13" s="140">
        <f t="shared" si="21"/>
        <v>2.0234058441558442</v>
      </c>
      <c r="AR13" s="141">
        <f t="shared" si="22"/>
        <v>8.726021512115139E-3</v>
      </c>
      <c r="AS13" s="142">
        <f t="shared" si="23"/>
        <v>26</v>
      </c>
      <c r="AT13" s="143">
        <f t="shared" si="24"/>
        <v>6232.09</v>
      </c>
      <c r="AU13" s="144">
        <f t="shared" si="25"/>
        <v>6232.09</v>
      </c>
      <c r="AV13" s="260">
        <v>1750</v>
      </c>
      <c r="AW13" s="146" t="str">
        <f t="shared" si="26"/>
        <v/>
      </c>
      <c r="AX13" s="146" t="str">
        <f t="shared" si="27"/>
        <v/>
      </c>
      <c r="AY13" s="146">
        <f t="shared" si="28"/>
        <v>9312.09</v>
      </c>
      <c r="AZ13" s="146" t="str">
        <f t="shared" si="29"/>
        <v/>
      </c>
      <c r="BA13" s="42">
        <v>14</v>
      </c>
    </row>
    <row r="14" spans="1:53" ht="18" customHeight="1" x14ac:dyDescent="0.25">
      <c r="A14" s="147" t="s">
        <v>49</v>
      </c>
      <c r="B14" s="152" t="s">
        <v>50</v>
      </c>
      <c r="C14" s="147">
        <v>1</v>
      </c>
      <c r="D14" s="106" t="s">
        <v>325</v>
      </c>
      <c r="E14" s="107">
        <v>263</v>
      </c>
      <c r="F14" s="107">
        <f t="shared" si="0"/>
        <v>65</v>
      </c>
      <c r="G14" s="108">
        <v>1970</v>
      </c>
      <c r="H14" s="108" t="s">
        <v>311</v>
      </c>
      <c r="I14" s="109">
        <f t="shared" si="1"/>
        <v>2.7989355520225507E-3</v>
      </c>
      <c r="J14" s="110">
        <f>G14*'Target revenue sheet'!$F$19</f>
        <v>669.80000000000007</v>
      </c>
      <c r="K14" s="111">
        <v>868</v>
      </c>
      <c r="L14" s="112">
        <f t="shared" si="2"/>
        <v>3.2071532819745422E-3</v>
      </c>
      <c r="M14" s="113">
        <f>K14*'Target revenue sheet'!$F$20</f>
        <v>772.52</v>
      </c>
      <c r="N14" s="114">
        <v>16128</v>
      </c>
      <c r="O14" s="115">
        <f t="shared" si="3"/>
        <v>4.3059499160996552E-3</v>
      </c>
      <c r="P14" s="116">
        <f>N14*'Target revenue sheet'!$F$21</f>
        <v>1128.96</v>
      </c>
      <c r="Q14" s="117">
        <v>4716</v>
      </c>
      <c r="R14" s="118">
        <f t="shared" si="4"/>
        <v>1.1453496279313761E-3</v>
      </c>
      <c r="S14" s="119">
        <f>Q14*'Target revenue sheet'!$F$22</f>
        <v>282.95999999999998</v>
      </c>
      <c r="T14" s="120">
        <f>'Target revenue sheet'!$F$2</f>
        <v>1000</v>
      </c>
      <c r="U14" s="121">
        <f>(C14-1)*'Target revenue sheet'!$F$1</f>
        <v>0</v>
      </c>
      <c r="V14" s="122">
        <f t="shared" si="5"/>
        <v>3854.2400000000002</v>
      </c>
      <c r="W14" s="123">
        <f>IF(V14&lt;'Target revenue sheet'!$F$3,'Target revenue sheet'!$F$3,V14)</f>
        <v>3854.2400000000002</v>
      </c>
      <c r="X14" s="123"/>
      <c r="Y14" s="124">
        <v>1750</v>
      </c>
      <c r="Z14" s="125">
        <f t="shared" si="6"/>
        <v>2.3861304463427438E-3</v>
      </c>
      <c r="AA14" s="126">
        <f t="shared" si="7"/>
        <v>58</v>
      </c>
      <c r="AB14" s="127">
        <v>1900</v>
      </c>
      <c r="AC14" s="127"/>
      <c r="AD14" s="128">
        <f t="shared" si="8"/>
        <v>2388.56</v>
      </c>
      <c r="AE14" s="129">
        <f t="shared" si="9"/>
        <v>0</v>
      </c>
      <c r="AF14" s="130">
        <f t="shared" si="10"/>
        <v>2388.56</v>
      </c>
      <c r="AG14" s="131">
        <f t="shared" si="11"/>
        <v>2877.12</v>
      </c>
      <c r="AH14" s="132">
        <f t="shared" si="12"/>
        <v>0</v>
      </c>
      <c r="AI14" s="133">
        <f t="shared" si="13"/>
        <v>2877.12</v>
      </c>
      <c r="AJ14" s="134">
        <f t="shared" si="14"/>
        <v>3365.6800000000003</v>
      </c>
      <c r="AK14" s="135">
        <f t="shared" si="15"/>
        <v>0</v>
      </c>
      <c r="AL14" s="136">
        <f t="shared" si="16"/>
        <v>3365.6800000000003</v>
      </c>
      <c r="AM14" s="137">
        <f t="shared" si="17"/>
        <v>3854.2400000000002</v>
      </c>
      <c r="AN14" s="137">
        <f t="shared" si="18"/>
        <v>0</v>
      </c>
      <c r="AO14" s="138">
        <f t="shared" si="19"/>
        <v>3854.2400000000002</v>
      </c>
      <c r="AP14" s="139">
        <f t="shared" si="20"/>
        <v>1954.2400000000002</v>
      </c>
      <c r="AQ14" s="140">
        <f t="shared" si="21"/>
        <v>1.0285473684210527</v>
      </c>
      <c r="AR14" s="141">
        <f t="shared" si="22"/>
        <v>3.6116683959084004E-3</v>
      </c>
      <c r="AS14" s="142">
        <f t="shared" si="23"/>
        <v>71</v>
      </c>
      <c r="AT14" s="143">
        <f t="shared" si="24"/>
        <v>1954.2400000000002</v>
      </c>
      <c r="AU14" s="144" t="str">
        <f t="shared" si="25"/>
        <v/>
      </c>
      <c r="AV14" s="260">
        <v>875</v>
      </c>
      <c r="AW14" s="146">
        <f t="shared" si="26"/>
        <v>3854.2400000000002</v>
      </c>
      <c r="AX14" s="146" t="str">
        <f t="shared" si="27"/>
        <v/>
      </c>
      <c r="AY14" s="146" t="str">
        <f t="shared" si="28"/>
        <v/>
      </c>
      <c r="AZ14" s="146" t="str">
        <f t="shared" si="29"/>
        <v/>
      </c>
      <c r="BA14" s="42">
        <v>16</v>
      </c>
    </row>
    <row r="15" spans="1:53" ht="18" customHeight="1" x14ac:dyDescent="0.25">
      <c r="A15" s="104" t="s">
        <v>43</v>
      </c>
      <c r="B15" s="152" t="s">
        <v>44</v>
      </c>
      <c r="C15" s="104">
        <v>1</v>
      </c>
      <c r="D15" s="106" t="s">
        <v>325</v>
      </c>
      <c r="E15" s="107">
        <v>183</v>
      </c>
      <c r="F15" s="107">
        <f t="shared" si="0"/>
        <v>41</v>
      </c>
      <c r="G15" s="108">
        <v>2898</v>
      </c>
      <c r="H15" s="108" t="s">
        <v>313</v>
      </c>
      <c r="I15" s="109">
        <f t="shared" si="1"/>
        <v>4.1174188983560157E-3</v>
      </c>
      <c r="J15" s="110">
        <f>G15*'Target revenue sheet'!$F$19</f>
        <v>985.32</v>
      </c>
      <c r="K15" s="111">
        <v>1132</v>
      </c>
      <c r="L15" s="112">
        <f t="shared" si="2"/>
        <v>4.1826008239575826E-3</v>
      </c>
      <c r="M15" s="113">
        <f>K15*'Target revenue sheet'!$F$20</f>
        <v>1007.48</v>
      </c>
      <c r="N15" s="114">
        <v>25797</v>
      </c>
      <c r="O15" s="115">
        <f t="shared" si="3"/>
        <v>6.8874373751006204E-3</v>
      </c>
      <c r="P15" s="116">
        <f>N15*'Target revenue sheet'!$F$21</f>
        <v>1805.7900000000002</v>
      </c>
      <c r="Q15" s="117">
        <v>14112</v>
      </c>
      <c r="R15" s="118">
        <f t="shared" si="4"/>
        <v>3.4273057568633548E-3</v>
      </c>
      <c r="S15" s="119">
        <f>Q15*'Target revenue sheet'!$F$22</f>
        <v>846.71999999999991</v>
      </c>
      <c r="T15" s="120">
        <f>'Target revenue sheet'!$F$2</f>
        <v>1000</v>
      </c>
      <c r="U15" s="121">
        <f>(C15-1)*'Target revenue sheet'!$F$1</f>
        <v>0</v>
      </c>
      <c r="V15" s="122">
        <f t="shared" si="5"/>
        <v>5645.31</v>
      </c>
      <c r="W15" s="123">
        <f>IF(V15&lt;'Target revenue sheet'!$F$3,'Target revenue sheet'!$F$3,V15)</f>
        <v>5645.31</v>
      </c>
      <c r="X15" s="123"/>
      <c r="Y15" s="124">
        <v>1750</v>
      </c>
      <c r="Z15" s="125">
        <f t="shared" si="6"/>
        <v>2.3861304463427438E-3</v>
      </c>
      <c r="AA15" s="126">
        <f t="shared" si="7"/>
        <v>58</v>
      </c>
      <c r="AB15" s="127">
        <v>1900</v>
      </c>
      <c r="AC15" s="127"/>
      <c r="AD15" s="128">
        <f t="shared" si="8"/>
        <v>2836.3275000000003</v>
      </c>
      <c r="AE15" s="129">
        <f t="shared" si="9"/>
        <v>0</v>
      </c>
      <c r="AF15" s="130">
        <f t="shared" si="10"/>
        <v>2836.3275000000003</v>
      </c>
      <c r="AG15" s="131">
        <f t="shared" si="11"/>
        <v>3772.6550000000002</v>
      </c>
      <c r="AH15" s="132">
        <f t="shared" si="12"/>
        <v>0</v>
      </c>
      <c r="AI15" s="133">
        <f t="shared" si="13"/>
        <v>3772.6550000000002</v>
      </c>
      <c r="AJ15" s="134">
        <f t="shared" si="14"/>
        <v>4708.9825000000001</v>
      </c>
      <c r="AK15" s="135">
        <f t="shared" si="15"/>
        <v>0</v>
      </c>
      <c r="AL15" s="136">
        <f t="shared" si="16"/>
        <v>4708.9825000000001</v>
      </c>
      <c r="AM15" s="137">
        <f t="shared" si="17"/>
        <v>5645.31</v>
      </c>
      <c r="AN15" s="137">
        <f t="shared" si="18"/>
        <v>0</v>
      </c>
      <c r="AO15" s="138">
        <f t="shared" si="19"/>
        <v>5645.31</v>
      </c>
      <c r="AP15" s="139">
        <f t="shared" si="20"/>
        <v>3745.3100000000004</v>
      </c>
      <c r="AQ15" s="140">
        <f t="shared" si="21"/>
        <v>1.9712157894736844</v>
      </c>
      <c r="AR15" s="141">
        <f t="shared" si="22"/>
        <v>5.2900150774486416E-3</v>
      </c>
      <c r="AS15" s="142">
        <f t="shared" si="23"/>
        <v>47</v>
      </c>
      <c r="AT15" s="143">
        <f t="shared" si="24"/>
        <v>3745.3100000000004</v>
      </c>
      <c r="AU15" s="144" t="str">
        <f t="shared" si="25"/>
        <v/>
      </c>
      <c r="AV15" s="260">
        <v>875</v>
      </c>
      <c r="AW15" s="146" t="str">
        <f t="shared" si="26"/>
        <v/>
      </c>
      <c r="AX15" s="146">
        <f t="shared" si="27"/>
        <v>5645.31</v>
      </c>
      <c r="AY15" s="146" t="str">
        <f t="shared" si="28"/>
        <v/>
      </c>
      <c r="AZ15" s="146" t="str">
        <f t="shared" si="29"/>
        <v/>
      </c>
      <c r="BA15" s="42">
        <v>13</v>
      </c>
    </row>
    <row r="16" spans="1:53" ht="18" customHeight="1" x14ac:dyDescent="0.25">
      <c r="A16" s="147" t="s">
        <v>57</v>
      </c>
      <c r="B16" s="152" t="s">
        <v>58</v>
      </c>
      <c r="C16" s="147">
        <v>1</v>
      </c>
      <c r="D16" s="106" t="s">
        <v>325</v>
      </c>
      <c r="E16" s="107">
        <v>333</v>
      </c>
      <c r="F16" s="107">
        <f t="shared" si="0"/>
        <v>87</v>
      </c>
      <c r="G16" s="108">
        <v>1108</v>
      </c>
      <c r="H16" s="108" t="s">
        <v>311</v>
      </c>
      <c r="I16" s="109">
        <f t="shared" si="1"/>
        <v>1.5742236505791808E-3</v>
      </c>
      <c r="J16" s="110">
        <f>G16*'Target revenue sheet'!$F$19</f>
        <v>376.72</v>
      </c>
      <c r="K16" s="111">
        <v>382</v>
      </c>
      <c r="L16" s="112">
        <f t="shared" si="2"/>
        <v>1.411443034233036E-3</v>
      </c>
      <c r="M16" s="113">
        <f>K16*'Target revenue sheet'!$F$20</f>
        <v>339.98</v>
      </c>
      <c r="N16" s="114">
        <v>13285</v>
      </c>
      <c r="O16" s="115">
        <f t="shared" si="3"/>
        <v>3.5469087695550543E-3</v>
      </c>
      <c r="P16" s="116">
        <f>N16*'Target revenue sheet'!$F$21</f>
        <v>929.95</v>
      </c>
      <c r="Q16" s="117">
        <v>4214</v>
      </c>
      <c r="R16" s="118">
        <f t="shared" si="4"/>
        <v>1.023431580174474E-3</v>
      </c>
      <c r="S16" s="119">
        <f>Q16*'Target revenue sheet'!$F$22</f>
        <v>252.84</v>
      </c>
      <c r="T16" s="120">
        <f>'Target revenue sheet'!$F$2</f>
        <v>1000</v>
      </c>
      <c r="U16" s="121">
        <f>(C16-1)*'Target revenue sheet'!$F$1</f>
        <v>0</v>
      </c>
      <c r="V16" s="122">
        <f t="shared" si="5"/>
        <v>2899.49</v>
      </c>
      <c r="W16" s="123">
        <f>IF(V16&lt;'Target revenue sheet'!$F$3,'Target revenue sheet'!$F$3,V16)</f>
        <v>3200</v>
      </c>
      <c r="X16" s="123"/>
      <c r="Y16" s="124">
        <v>1750</v>
      </c>
      <c r="Z16" s="125">
        <f t="shared" si="6"/>
        <v>2.3861304463427438E-3</v>
      </c>
      <c r="AA16" s="126">
        <f t="shared" si="7"/>
        <v>58</v>
      </c>
      <c r="AB16" s="127">
        <v>1900</v>
      </c>
      <c r="AC16" s="127"/>
      <c r="AD16" s="128">
        <f t="shared" si="8"/>
        <v>2225</v>
      </c>
      <c r="AE16" s="129">
        <f t="shared" si="9"/>
        <v>0</v>
      </c>
      <c r="AF16" s="130">
        <f t="shared" si="10"/>
        <v>2225</v>
      </c>
      <c r="AG16" s="131">
        <f t="shared" si="11"/>
        <v>2550</v>
      </c>
      <c r="AH16" s="132">
        <f t="shared" si="12"/>
        <v>0</v>
      </c>
      <c r="AI16" s="133">
        <f t="shared" si="13"/>
        <v>2550</v>
      </c>
      <c r="AJ16" s="134">
        <f t="shared" si="14"/>
        <v>2875</v>
      </c>
      <c r="AK16" s="135">
        <f t="shared" si="15"/>
        <v>0</v>
      </c>
      <c r="AL16" s="136">
        <f t="shared" si="16"/>
        <v>2875</v>
      </c>
      <c r="AM16" s="137">
        <f t="shared" si="17"/>
        <v>3200</v>
      </c>
      <c r="AN16" s="137">
        <f t="shared" si="18"/>
        <v>0</v>
      </c>
      <c r="AO16" s="138">
        <f t="shared" si="19"/>
        <v>3200</v>
      </c>
      <c r="AP16" s="139">
        <f t="shared" si="20"/>
        <v>1300</v>
      </c>
      <c r="AQ16" s="140">
        <f t="shared" si="21"/>
        <v>0.68421052631578949</v>
      </c>
      <c r="AR16" s="141">
        <f t="shared" si="22"/>
        <v>2.9986038406811409E-3</v>
      </c>
      <c r="AS16" s="142">
        <f t="shared" si="23"/>
        <v>81</v>
      </c>
      <c r="AT16" s="143" t="str">
        <f t="shared" si="24"/>
        <v/>
      </c>
      <c r="AU16" s="144" t="str">
        <f t="shared" si="25"/>
        <v/>
      </c>
      <c r="AV16" s="261">
        <v>3500</v>
      </c>
      <c r="AW16" s="146">
        <f t="shared" si="26"/>
        <v>3200</v>
      </c>
      <c r="AX16" s="146" t="str">
        <f t="shared" si="27"/>
        <v/>
      </c>
      <c r="AY16" s="146" t="str">
        <f t="shared" si="28"/>
        <v/>
      </c>
      <c r="AZ16" s="146" t="str">
        <f t="shared" si="29"/>
        <v/>
      </c>
      <c r="BA16" s="42">
        <v>20</v>
      </c>
    </row>
    <row r="17" spans="1:53" ht="18" customHeight="1" x14ac:dyDescent="0.25">
      <c r="A17" s="147" t="s">
        <v>41</v>
      </c>
      <c r="B17" s="152" t="s">
        <v>42</v>
      </c>
      <c r="C17" s="147">
        <v>1</v>
      </c>
      <c r="D17" s="106" t="s">
        <v>325</v>
      </c>
      <c r="E17" s="107">
        <v>199</v>
      </c>
      <c r="F17" s="107">
        <f t="shared" si="0"/>
        <v>49</v>
      </c>
      <c r="G17" s="108">
        <v>2875</v>
      </c>
      <c r="H17" s="108" t="s">
        <v>313</v>
      </c>
      <c r="I17" s="109">
        <f t="shared" si="1"/>
        <v>4.0847409705912861E-3</v>
      </c>
      <c r="J17" s="110">
        <f>G17*'Target revenue sheet'!$F$19</f>
        <v>977.50000000000011</v>
      </c>
      <c r="K17" s="111">
        <v>686</v>
      </c>
      <c r="L17" s="112">
        <f t="shared" si="2"/>
        <v>2.5346856583347188E-3</v>
      </c>
      <c r="M17" s="113">
        <f>K17*'Target revenue sheet'!$F$20</f>
        <v>610.54</v>
      </c>
      <c r="N17" s="114">
        <v>34130</v>
      </c>
      <c r="O17" s="115">
        <f t="shared" si="3"/>
        <v>9.1122315622818219E-3</v>
      </c>
      <c r="P17" s="116">
        <f>N17*'Target revenue sheet'!$F$21</f>
        <v>2389.1000000000004</v>
      </c>
      <c r="Q17" s="117">
        <v>12026</v>
      </c>
      <c r="R17" s="118">
        <f t="shared" si="4"/>
        <v>2.9206901241524024E-3</v>
      </c>
      <c r="S17" s="119">
        <f>Q17*'Target revenue sheet'!$F$22</f>
        <v>721.56</v>
      </c>
      <c r="T17" s="120">
        <f>'Target revenue sheet'!$F$2</f>
        <v>1000</v>
      </c>
      <c r="U17" s="121">
        <f>(C17-1)*'Target revenue sheet'!$F$1</f>
        <v>0</v>
      </c>
      <c r="V17" s="122">
        <f t="shared" si="5"/>
        <v>5698.7000000000007</v>
      </c>
      <c r="W17" s="123">
        <f>IF(V17&lt;'Target revenue sheet'!$F$3,'Target revenue sheet'!$F$3,V17)</f>
        <v>5698.7000000000007</v>
      </c>
      <c r="X17" s="123"/>
      <c r="Y17" s="124">
        <v>1750</v>
      </c>
      <c r="Z17" s="125">
        <f t="shared" si="6"/>
        <v>2.3861304463427438E-3</v>
      </c>
      <c r="AA17" s="126">
        <f t="shared" si="7"/>
        <v>58</v>
      </c>
      <c r="AB17" s="127">
        <v>1900</v>
      </c>
      <c r="AC17" s="127"/>
      <c r="AD17" s="128">
        <f t="shared" si="8"/>
        <v>2849.6750000000002</v>
      </c>
      <c r="AE17" s="129">
        <f t="shared" si="9"/>
        <v>0</v>
      </c>
      <c r="AF17" s="130">
        <f t="shared" si="10"/>
        <v>2849.6750000000002</v>
      </c>
      <c r="AG17" s="131">
        <f t="shared" si="11"/>
        <v>3799.3500000000004</v>
      </c>
      <c r="AH17" s="132">
        <f t="shared" si="12"/>
        <v>0</v>
      </c>
      <c r="AI17" s="133">
        <f t="shared" si="13"/>
        <v>3799.3500000000004</v>
      </c>
      <c r="AJ17" s="134">
        <f t="shared" si="14"/>
        <v>4749.0250000000005</v>
      </c>
      <c r="AK17" s="135">
        <f t="shared" si="15"/>
        <v>0</v>
      </c>
      <c r="AL17" s="136">
        <f t="shared" si="16"/>
        <v>4749.0250000000005</v>
      </c>
      <c r="AM17" s="137">
        <f t="shared" si="17"/>
        <v>5698.7000000000007</v>
      </c>
      <c r="AN17" s="137">
        <f t="shared" si="18"/>
        <v>0</v>
      </c>
      <c r="AO17" s="138">
        <f t="shared" si="19"/>
        <v>5698.7000000000007</v>
      </c>
      <c r="AP17" s="139">
        <f t="shared" si="20"/>
        <v>3798.7000000000007</v>
      </c>
      <c r="AQ17" s="140">
        <f t="shared" si="21"/>
        <v>1.9993157894736846</v>
      </c>
      <c r="AR17" s="141">
        <f t="shared" si="22"/>
        <v>5.3400449084030069E-3</v>
      </c>
      <c r="AS17" s="142">
        <f t="shared" si="23"/>
        <v>45</v>
      </c>
      <c r="AT17" s="143">
        <f t="shared" si="24"/>
        <v>3798.7000000000007</v>
      </c>
      <c r="AU17" s="144">
        <f t="shared" si="25"/>
        <v>3798.7000000000007</v>
      </c>
      <c r="AV17" s="260">
        <v>875</v>
      </c>
      <c r="AW17" s="146" t="str">
        <f t="shared" si="26"/>
        <v/>
      </c>
      <c r="AX17" s="146">
        <f t="shared" si="27"/>
        <v>5698.7000000000007</v>
      </c>
      <c r="AY17" s="146" t="str">
        <f t="shared" si="28"/>
        <v/>
      </c>
      <c r="AZ17" s="146" t="str">
        <f t="shared" si="29"/>
        <v/>
      </c>
      <c r="BA17" s="42">
        <v>12</v>
      </c>
    </row>
    <row r="18" spans="1:53" ht="18" customHeight="1" x14ac:dyDescent="0.25">
      <c r="A18" s="104" t="s">
        <v>51</v>
      </c>
      <c r="B18" s="105" t="s">
        <v>52</v>
      </c>
      <c r="C18" s="104">
        <v>1</v>
      </c>
      <c r="D18" s="106" t="s">
        <v>325</v>
      </c>
      <c r="E18" s="107">
        <v>73</v>
      </c>
      <c r="F18" s="107">
        <f t="shared" si="0"/>
        <v>17</v>
      </c>
      <c r="G18" s="108">
        <v>12259</v>
      </c>
      <c r="H18" s="108" t="s">
        <v>314</v>
      </c>
      <c r="I18" s="109">
        <f t="shared" si="1"/>
        <v>1.7417335498601243E-2</v>
      </c>
      <c r="J18" s="110">
        <f>G18*'Target revenue sheet'!$F$19</f>
        <v>4168.0600000000004</v>
      </c>
      <c r="K18" s="111">
        <v>3805</v>
      </c>
      <c r="L18" s="112">
        <f t="shared" si="2"/>
        <v>1.4059007186535868E-2</v>
      </c>
      <c r="M18" s="113">
        <f>K18*'Target revenue sheet'!$F$20</f>
        <v>3386.4500000000003</v>
      </c>
      <c r="N18" s="114">
        <v>35522</v>
      </c>
      <c r="O18" s="115">
        <f t="shared" si="3"/>
        <v>9.4838760490880431E-3</v>
      </c>
      <c r="P18" s="116">
        <f>N18*'Target revenue sheet'!$F$21</f>
        <v>2486.5400000000004</v>
      </c>
      <c r="Q18" s="117">
        <v>45413</v>
      </c>
      <c r="R18" s="118">
        <f t="shared" si="4"/>
        <v>1.1029211758534264E-2</v>
      </c>
      <c r="S18" s="119">
        <f>Q18*'Target revenue sheet'!$F$22</f>
        <v>2724.7799999999997</v>
      </c>
      <c r="T18" s="120">
        <f>'Target revenue sheet'!$F$2</f>
        <v>1000</v>
      </c>
      <c r="U18" s="121">
        <f>(C18-1)*'Target revenue sheet'!$F$1</f>
        <v>0</v>
      </c>
      <c r="V18" s="122">
        <f t="shared" si="5"/>
        <v>13765.830000000002</v>
      </c>
      <c r="W18" s="123">
        <f>IF(V18&lt;'Target revenue sheet'!$F$3,'Target revenue sheet'!$F$3,V18)</f>
        <v>13765.830000000002</v>
      </c>
      <c r="X18" s="123"/>
      <c r="Y18" s="124">
        <v>10114</v>
      </c>
      <c r="Z18" s="125">
        <f t="shared" si="6"/>
        <v>1.3790470476748863E-2</v>
      </c>
      <c r="AA18" s="126">
        <f t="shared" si="7"/>
        <v>14</v>
      </c>
      <c r="AB18" s="127">
        <v>10417</v>
      </c>
      <c r="AC18" s="127"/>
      <c r="AD18" s="128">
        <f t="shared" si="8"/>
        <v>11254.2075</v>
      </c>
      <c r="AE18" s="129">
        <f t="shared" si="9"/>
        <v>0</v>
      </c>
      <c r="AF18" s="130">
        <f t="shared" si="10"/>
        <v>11254.2075</v>
      </c>
      <c r="AG18" s="131">
        <f t="shared" si="11"/>
        <v>12091.415000000001</v>
      </c>
      <c r="AH18" s="132">
        <f t="shared" si="12"/>
        <v>0</v>
      </c>
      <c r="AI18" s="133">
        <f t="shared" si="13"/>
        <v>12091.415000000001</v>
      </c>
      <c r="AJ18" s="134">
        <f t="shared" si="14"/>
        <v>12928.622500000001</v>
      </c>
      <c r="AK18" s="135">
        <f t="shared" si="15"/>
        <v>0</v>
      </c>
      <c r="AL18" s="136">
        <f t="shared" si="16"/>
        <v>12928.622500000001</v>
      </c>
      <c r="AM18" s="137">
        <f t="shared" si="17"/>
        <v>13765.830000000002</v>
      </c>
      <c r="AN18" s="137">
        <f t="shared" si="18"/>
        <v>0</v>
      </c>
      <c r="AO18" s="138">
        <f t="shared" si="19"/>
        <v>13765.830000000002</v>
      </c>
      <c r="AP18" s="139">
        <f t="shared" si="20"/>
        <v>3348.8300000000017</v>
      </c>
      <c r="AQ18" s="140">
        <f t="shared" si="21"/>
        <v>0.32147739272343301</v>
      </c>
      <c r="AR18" s="141">
        <f t="shared" si="22"/>
        <v>1.2899459596301149E-2</v>
      </c>
      <c r="AS18" s="142">
        <f t="shared" si="23"/>
        <v>18</v>
      </c>
      <c r="AT18" s="143" t="str">
        <f t="shared" si="24"/>
        <v/>
      </c>
      <c r="AU18" s="144" t="str">
        <f t="shared" si="25"/>
        <v/>
      </c>
      <c r="AV18" s="260">
        <v>1750</v>
      </c>
      <c r="AW18" s="146" t="str">
        <f t="shared" si="26"/>
        <v/>
      </c>
      <c r="AX18" s="146" t="str">
        <f t="shared" si="27"/>
        <v/>
      </c>
      <c r="AY18" s="146" t="str">
        <f t="shared" si="28"/>
        <v/>
      </c>
      <c r="AZ18" s="146">
        <f t="shared" si="29"/>
        <v>13765.830000000002</v>
      </c>
      <c r="BA18" s="42">
        <v>17</v>
      </c>
    </row>
    <row r="19" spans="1:53" ht="18" customHeight="1" x14ac:dyDescent="0.25">
      <c r="A19" s="104" t="s">
        <v>59</v>
      </c>
      <c r="B19" s="105" t="s">
        <v>60</v>
      </c>
      <c r="C19" s="104">
        <v>1</v>
      </c>
      <c r="D19" s="106" t="s">
        <v>325</v>
      </c>
      <c r="E19" s="107">
        <v>150</v>
      </c>
      <c r="F19" s="107">
        <f t="shared" si="0"/>
        <v>35</v>
      </c>
      <c r="G19" s="108">
        <v>4940</v>
      </c>
      <c r="H19" s="108" t="s">
        <v>312</v>
      </c>
      <c r="I19" s="109">
        <f t="shared" si="1"/>
        <v>7.0186505720768524E-3</v>
      </c>
      <c r="J19" s="110">
        <f>G19*'Target revenue sheet'!$F$19</f>
        <v>1679.6000000000001</v>
      </c>
      <c r="K19" s="111">
        <v>1995</v>
      </c>
      <c r="L19" s="112">
        <f t="shared" si="2"/>
        <v>7.3712797206672946E-3</v>
      </c>
      <c r="M19" s="113">
        <f>K19*'Target revenue sheet'!$F$20</f>
        <v>1775.55</v>
      </c>
      <c r="N19" s="114">
        <v>22859</v>
      </c>
      <c r="O19" s="115">
        <f t="shared" si="3"/>
        <v>6.1030325602754228E-3</v>
      </c>
      <c r="P19" s="116">
        <f>N19*'Target revenue sheet'!$F$21</f>
        <v>1600.13</v>
      </c>
      <c r="Q19" s="117">
        <v>14096</v>
      </c>
      <c r="R19" s="118">
        <f t="shared" si="4"/>
        <v>3.4234199226718994E-3</v>
      </c>
      <c r="S19" s="119">
        <f>Q19*'Target revenue sheet'!$F$22</f>
        <v>845.76</v>
      </c>
      <c r="T19" s="120">
        <f>'Target revenue sheet'!$F$2</f>
        <v>1000</v>
      </c>
      <c r="U19" s="121">
        <f>(C19-1)*'Target revenue sheet'!$F$1</f>
        <v>0</v>
      </c>
      <c r="V19" s="122">
        <f t="shared" si="5"/>
        <v>6901.0400000000009</v>
      </c>
      <c r="W19" s="123">
        <f>IF(V19&lt;'Target revenue sheet'!$F$3,'Target revenue sheet'!$F$3,V19)</f>
        <v>6901.0400000000009</v>
      </c>
      <c r="X19" s="123"/>
      <c r="Y19" s="124">
        <v>2930</v>
      </c>
      <c r="Z19" s="125">
        <f t="shared" si="6"/>
        <v>3.9950641187338513E-3</v>
      </c>
      <c r="AA19" s="126">
        <f t="shared" si="7"/>
        <v>29</v>
      </c>
      <c r="AB19" s="127">
        <v>3080</v>
      </c>
      <c r="AC19" s="127"/>
      <c r="AD19" s="128">
        <f t="shared" si="8"/>
        <v>4035.26</v>
      </c>
      <c r="AE19" s="129">
        <f t="shared" si="9"/>
        <v>0</v>
      </c>
      <c r="AF19" s="130">
        <f t="shared" si="10"/>
        <v>4035.26</v>
      </c>
      <c r="AG19" s="131">
        <f t="shared" si="11"/>
        <v>4990.5200000000004</v>
      </c>
      <c r="AH19" s="132">
        <f t="shared" si="12"/>
        <v>0</v>
      </c>
      <c r="AI19" s="133">
        <f t="shared" si="13"/>
        <v>4990.5200000000004</v>
      </c>
      <c r="AJ19" s="134">
        <f t="shared" si="14"/>
        <v>5945.7800000000007</v>
      </c>
      <c r="AK19" s="135">
        <f t="shared" si="15"/>
        <v>0</v>
      </c>
      <c r="AL19" s="136">
        <f t="shared" si="16"/>
        <v>5945.7800000000007</v>
      </c>
      <c r="AM19" s="137">
        <f t="shared" si="17"/>
        <v>6901.0400000000009</v>
      </c>
      <c r="AN19" s="137">
        <f t="shared" si="18"/>
        <v>0</v>
      </c>
      <c r="AO19" s="138">
        <f t="shared" si="19"/>
        <v>6901.0400000000009</v>
      </c>
      <c r="AP19" s="139">
        <f t="shared" si="20"/>
        <v>3821.0400000000009</v>
      </c>
      <c r="AQ19" s="140">
        <f t="shared" si="21"/>
        <v>1.2405974025974029</v>
      </c>
      <c r="AR19" s="141">
        <f t="shared" si="22"/>
        <v>6.4667140777169329E-3</v>
      </c>
      <c r="AS19" s="142">
        <f t="shared" si="23"/>
        <v>38</v>
      </c>
      <c r="AT19" s="143">
        <f t="shared" si="24"/>
        <v>3821.0400000000009</v>
      </c>
      <c r="AU19" s="144" t="str">
        <f t="shared" si="25"/>
        <v/>
      </c>
      <c r="AV19" s="260">
        <v>1750</v>
      </c>
      <c r="AW19" s="146" t="str">
        <f t="shared" si="26"/>
        <v/>
      </c>
      <c r="AX19" s="146" t="str">
        <f t="shared" si="27"/>
        <v/>
      </c>
      <c r="AY19" s="146">
        <f t="shared" si="28"/>
        <v>6901.0400000000009</v>
      </c>
      <c r="AZ19" s="146" t="str">
        <f t="shared" si="29"/>
        <v/>
      </c>
      <c r="BA19" s="42">
        <v>21</v>
      </c>
    </row>
    <row r="20" spans="1:53" ht="18" customHeight="1" x14ac:dyDescent="0.25">
      <c r="A20" s="104" t="s">
        <v>55</v>
      </c>
      <c r="B20" s="152" t="s">
        <v>56</v>
      </c>
      <c r="C20" s="104">
        <v>1</v>
      </c>
      <c r="D20" s="106" t="s">
        <v>325</v>
      </c>
      <c r="E20" s="107">
        <v>207</v>
      </c>
      <c r="F20" s="107">
        <f t="shared" si="0"/>
        <v>53</v>
      </c>
      <c r="G20" s="108">
        <v>2395</v>
      </c>
      <c r="H20" s="108" t="s">
        <v>313</v>
      </c>
      <c r="I20" s="109">
        <f t="shared" si="1"/>
        <v>3.402766825936045E-3</v>
      </c>
      <c r="J20" s="110">
        <f>G20*'Target revenue sheet'!$F$19</f>
        <v>814.30000000000007</v>
      </c>
      <c r="K20" s="111">
        <v>1039</v>
      </c>
      <c r="L20" s="112">
        <f t="shared" si="2"/>
        <v>3.8389772580317391E-3</v>
      </c>
      <c r="M20" s="113">
        <f>K20*'Target revenue sheet'!$F$20</f>
        <v>924.71</v>
      </c>
      <c r="N20" s="114">
        <v>25580</v>
      </c>
      <c r="O20" s="115">
        <f t="shared" si="3"/>
        <v>6.8295014170280987E-3</v>
      </c>
      <c r="P20" s="116">
        <f>N20*'Target revenue sheet'!$F$21</f>
        <v>1790.6000000000001</v>
      </c>
      <c r="Q20" s="117">
        <v>8570</v>
      </c>
      <c r="R20" s="118">
        <f t="shared" si="4"/>
        <v>2.0813499387981114E-3</v>
      </c>
      <c r="S20" s="119">
        <f>Q20*'Target revenue sheet'!$F$22</f>
        <v>514.19999999999993</v>
      </c>
      <c r="T20" s="120">
        <f>'Target revenue sheet'!$F$2</f>
        <v>1000</v>
      </c>
      <c r="U20" s="121">
        <f>(C20-1)*'Target revenue sheet'!$F$1</f>
        <v>0</v>
      </c>
      <c r="V20" s="122">
        <f t="shared" si="5"/>
        <v>5043.8100000000004</v>
      </c>
      <c r="W20" s="123">
        <f>IF(V20&lt;'Target revenue sheet'!$F$3,'Target revenue sheet'!$F$3,V20)</f>
        <v>5043.8100000000004</v>
      </c>
      <c r="X20" s="123"/>
      <c r="Y20" s="124">
        <v>1750</v>
      </c>
      <c r="Z20" s="125">
        <f t="shared" si="6"/>
        <v>2.3861304463427438E-3</v>
      </c>
      <c r="AA20" s="126">
        <f t="shared" si="7"/>
        <v>58</v>
      </c>
      <c r="AB20" s="127">
        <v>1900</v>
      </c>
      <c r="AC20" s="127"/>
      <c r="AD20" s="128">
        <f t="shared" si="8"/>
        <v>2685.9525000000003</v>
      </c>
      <c r="AE20" s="129">
        <f t="shared" si="9"/>
        <v>0</v>
      </c>
      <c r="AF20" s="130">
        <f t="shared" si="10"/>
        <v>2685.9525000000003</v>
      </c>
      <c r="AG20" s="131">
        <f t="shared" si="11"/>
        <v>3471.9050000000002</v>
      </c>
      <c r="AH20" s="132">
        <f t="shared" si="12"/>
        <v>0</v>
      </c>
      <c r="AI20" s="133">
        <f t="shared" si="13"/>
        <v>3471.9050000000002</v>
      </c>
      <c r="AJ20" s="134">
        <f t="shared" si="14"/>
        <v>4257.8575000000001</v>
      </c>
      <c r="AK20" s="135">
        <f t="shared" si="15"/>
        <v>0</v>
      </c>
      <c r="AL20" s="136">
        <f t="shared" si="16"/>
        <v>4257.8575000000001</v>
      </c>
      <c r="AM20" s="137">
        <f t="shared" si="17"/>
        <v>5043.8100000000004</v>
      </c>
      <c r="AN20" s="137">
        <f t="shared" si="18"/>
        <v>0</v>
      </c>
      <c r="AO20" s="138">
        <f t="shared" si="19"/>
        <v>5043.8100000000004</v>
      </c>
      <c r="AP20" s="139">
        <f t="shared" si="20"/>
        <v>3143.8100000000004</v>
      </c>
      <c r="AQ20" s="140">
        <f t="shared" si="21"/>
        <v>1.6546368421052633</v>
      </c>
      <c r="AR20" s="141">
        <f t="shared" si="22"/>
        <v>4.7263712617706087E-3</v>
      </c>
      <c r="AS20" s="142">
        <f t="shared" si="23"/>
        <v>54</v>
      </c>
      <c r="AT20" s="143">
        <f t="shared" si="24"/>
        <v>3143.8100000000004</v>
      </c>
      <c r="AU20" s="144" t="str">
        <f t="shared" si="25"/>
        <v/>
      </c>
      <c r="AV20" s="260">
        <v>875</v>
      </c>
      <c r="AW20" s="146" t="str">
        <f t="shared" si="26"/>
        <v/>
      </c>
      <c r="AX20" s="146">
        <f t="shared" si="27"/>
        <v>5043.8100000000004</v>
      </c>
      <c r="AY20" s="146" t="str">
        <f t="shared" si="28"/>
        <v/>
      </c>
      <c r="AZ20" s="146" t="str">
        <f t="shared" si="29"/>
        <v/>
      </c>
      <c r="BA20" s="42">
        <v>19</v>
      </c>
    </row>
    <row r="21" spans="1:53" ht="18" customHeight="1" x14ac:dyDescent="0.25">
      <c r="A21" s="104" t="s">
        <v>47</v>
      </c>
      <c r="B21" s="152" t="s">
        <v>48</v>
      </c>
      <c r="C21" s="104">
        <v>1</v>
      </c>
      <c r="D21" s="106" t="s">
        <v>325</v>
      </c>
      <c r="E21" s="107">
        <v>322</v>
      </c>
      <c r="F21" s="107">
        <f t="shared" si="0"/>
        <v>83</v>
      </c>
      <c r="G21" s="108">
        <v>1344</v>
      </c>
      <c r="H21" s="108" t="s">
        <v>311</v>
      </c>
      <c r="I21" s="109">
        <f t="shared" si="1"/>
        <v>1.9095276050346741E-3</v>
      </c>
      <c r="J21" s="110">
        <f>G21*'Target revenue sheet'!$F$19</f>
        <v>456.96000000000004</v>
      </c>
      <c r="K21" s="111">
        <v>886</v>
      </c>
      <c r="L21" s="112">
        <f t="shared" si="2"/>
        <v>3.2736610689279313E-3</v>
      </c>
      <c r="M21" s="113">
        <f>K21*'Target revenue sheet'!$F$20</f>
        <v>788.54</v>
      </c>
      <c r="N21" s="114">
        <v>20496</v>
      </c>
      <c r="O21" s="115">
        <f t="shared" si="3"/>
        <v>5.472144685043312E-3</v>
      </c>
      <c r="P21" s="116">
        <f>N21*'Target revenue sheet'!$F$21</f>
        <v>1434.72</v>
      </c>
      <c r="Q21" s="117">
        <v>2835</v>
      </c>
      <c r="R21" s="118">
        <f t="shared" si="4"/>
        <v>6.8852124579844181E-4</v>
      </c>
      <c r="S21" s="119">
        <f>Q21*'Target revenue sheet'!$F$22</f>
        <v>170.1</v>
      </c>
      <c r="T21" s="120">
        <f>'Target revenue sheet'!$F$2</f>
        <v>1000</v>
      </c>
      <c r="U21" s="121">
        <f>(C21-1)*'Target revenue sheet'!$F$1</f>
        <v>0</v>
      </c>
      <c r="V21" s="122">
        <f t="shared" si="5"/>
        <v>3850.32</v>
      </c>
      <c r="W21" s="123">
        <f>IF(V21&lt;'Target revenue sheet'!$F$3,'Target revenue sheet'!$F$3,V21)</f>
        <v>3850.32</v>
      </c>
      <c r="X21" s="123"/>
      <c r="Y21" s="124">
        <v>1750</v>
      </c>
      <c r="Z21" s="125">
        <f t="shared" si="6"/>
        <v>2.3861304463427438E-3</v>
      </c>
      <c r="AA21" s="126">
        <f t="shared" si="7"/>
        <v>58</v>
      </c>
      <c r="AB21" s="127">
        <v>1900</v>
      </c>
      <c r="AC21" s="127"/>
      <c r="AD21" s="128">
        <f t="shared" si="8"/>
        <v>2387.58</v>
      </c>
      <c r="AE21" s="129">
        <f t="shared" si="9"/>
        <v>0</v>
      </c>
      <c r="AF21" s="130">
        <f t="shared" si="10"/>
        <v>2387.58</v>
      </c>
      <c r="AG21" s="131">
        <f t="shared" si="11"/>
        <v>2875.16</v>
      </c>
      <c r="AH21" s="132">
        <f t="shared" si="12"/>
        <v>0</v>
      </c>
      <c r="AI21" s="133">
        <f t="shared" si="13"/>
        <v>2875.16</v>
      </c>
      <c r="AJ21" s="134">
        <f t="shared" si="14"/>
        <v>3362.7400000000002</v>
      </c>
      <c r="AK21" s="135">
        <f t="shared" si="15"/>
        <v>0</v>
      </c>
      <c r="AL21" s="136">
        <f t="shared" si="16"/>
        <v>3362.7400000000002</v>
      </c>
      <c r="AM21" s="137">
        <f t="shared" si="17"/>
        <v>3850.32</v>
      </c>
      <c r="AN21" s="137">
        <f t="shared" si="18"/>
        <v>0</v>
      </c>
      <c r="AO21" s="138">
        <f t="shared" si="19"/>
        <v>3850.32</v>
      </c>
      <c r="AP21" s="139">
        <f t="shared" si="20"/>
        <v>1950.3200000000002</v>
      </c>
      <c r="AQ21" s="140">
        <f t="shared" si="21"/>
        <v>1.0264842105263159</v>
      </c>
      <c r="AR21" s="141">
        <f t="shared" si="22"/>
        <v>3.607995106203566E-3</v>
      </c>
      <c r="AS21" s="142">
        <f t="shared" si="23"/>
        <v>72</v>
      </c>
      <c r="AT21" s="143">
        <f t="shared" si="24"/>
        <v>1950.3200000000002</v>
      </c>
      <c r="AU21" s="144" t="str">
        <f t="shared" si="25"/>
        <v/>
      </c>
      <c r="AV21" s="260">
        <v>2625</v>
      </c>
      <c r="AW21" s="146">
        <f t="shared" si="26"/>
        <v>3850.32</v>
      </c>
      <c r="AX21" s="146" t="str">
        <f t="shared" si="27"/>
        <v/>
      </c>
      <c r="AY21" s="146" t="str">
        <f t="shared" si="28"/>
        <v/>
      </c>
      <c r="AZ21" s="146" t="str">
        <f t="shared" si="29"/>
        <v/>
      </c>
      <c r="BA21" s="42">
        <v>15</v>
      </c>
    </row>
    <row r="22" spans="1:53" ht="18" customHeight="1" x14ac:dyDescent="0.25">
      <c r="A22" s="147" t="s">
        <v>53</v>
      </c>
      <c r="B22" s="152" t="s">
        <v>54</v>
      </c>
      <c r="C22" s="147">
        <v>1</v>
      </c>
      <c r="D22" s="106" t="s">
        <v>325</v>
      </c>
      <c r="E22" s="107">
        <v>343</v>
      </c>
      <c r="F22" s="107">
        <f t="shared" si="0"/>
        <v>89</v>
      </c>
      <c r="G22" s="108">
        <v>1331</v>
      </c>
      <c r="H22" s="108" t="s">
        <v>311</v>
      </c>
      <c r="I22" s="109">
        <f t="shared" si="1"/>
        <v>1.8910574719502614E-3</v>
      </c>
      <c r="J22" s="110">
        <f>G22*'Target revenue sheet'!$F$19</f>
        <v>452.54</v>
      </c>
      <c r="K22" s="111">
        <v>460</v>
      </c>
      <c r="L22" s="112">
        <f t="shared" si="2"/>
        <v>1.6996434443643888E-3</v>
      </c>
      <c r="M22" s="113">
        <f>K22*'Target revenue sheet'!$F$20</f>
        <v>409.40000000000003</v>
      </c>
      <c r="N22" s="114">
        <v>9505</v>
      </c>
      <c r="O22" s="115">
        <f t="shared" si="3"/>
        <v>2.5377017579691977E-3</v>
      </c>
      <c r="P22" s="116">
        <f>N22*'Target revenue sheet'!$F$21</f>
        <v>665.35</v>
      </c>
      <c r="Q22" s="117">
        <v>2657</v>
      </c>
      <c r="R22" s="118">
        <f t="shared" si="4"/>
        <v>6.4529134041850435E-4</v>
      </c>
      <c r="S22" s="119">
        <f>Q22*'Target revenue sheet'!$F$22</f>
        <v>159.41999999999999</v>
      </c>
      <c r="T22" s="120">
        <f>'Target revenue sheet'!$F$2</f>
        <v>1000</v>
      </c>
      <c r="U22" s="121">
        <f>(C22-1)*'Target revenue sheet'!$F$1</f>
        <v>0</v>
      </c>
      <c r="V22" s="122">
        <f t="shared" si="5"/>
        <v>2686.71</v>
      </c>
      <c r="W22" s="123">
        <f>IF(V22&lt;'Target revenue sheet'!$F$3,'Target revenue sheet'!$F$3,V22)</f>
        <v>3200</v>
      </c>
      <c r="X22" s="123"/>
      <c r="Y22" s="124">
        <v>1750</v>
      </c>
      <c r="Z22" s="125">
        <f t="shared" si="6"/>
        <v>2.3861304463427438E-3</v>
      </c>
      <c r="AA22" s="126">
        <f t="shared" si="7"/>
        <v>58</v>
      </c>
      <c r="AB22" s="127">
        <v>1900</v>
      </c>
      <c r="AC22" s="127"/>
      <c r="AD22" s="128">
        <f t="shared" si="8"/>
        <v>2225</v>
      </c>
      <c r="AE22" s="129">
        <f t="shared" si="9"/>
        <v>0</v>
      </c>
      <c r="AF22" s="130">
        <f t="shared" si="10"/>
        <v>2225</v>
      </c>
      <c r="AG22" s="131">
        <f t="shared" si="11"/>
        <v>2550</v>
      </c>
      <c r="AH22" s="132">
        <f t="shared" si="12"/>
        <v>0</v>
      </c>
      <c r="AI22" s="133">
        <f t="shared" si="13"/>
        <v>2550</v>
      </c>
      <c r="AJ22" s="134">
        <f t="shared" si="14"/>
        <v>2875</v>
      </c>
      <c r="AK22" s="135">
        <f t="shared" si="15"/>
        <v>0</v>
      </c>
      <c r="AL22" s="136">
        <f t="shared" si="16"/>
        <v>2875</v>
      </c>
      <c r="AM22" s="137">
        <f t="shared" si="17"/>
        <v>3200</v>
      </c>
      <c r="AN22" s="137">
        <f t="shared" si="18"/>
        <v>0</v>
      </c>
      <c r="AO22" s="138">
        <f t="shared" si="19"/>
        <v>3200</v>
      </c>
      <c r="AP22" s="139">
        <f t="shared" si="20"/>
        <v>1300</v>
      </c>
      <c r="AQ22" s="140">
        <f t="shared" si="21"/>
        <v>0.68421052631578949</v>
      </c>
      <c r="AR22" s="141">
        <f t="shared" si="22"/>
        <v>2.9986038406811409E-3</v>
      </c>
      <c r="AS22" s="142">
        <f t="shared" si="23"/>
        <v>81</v>
      </c>
      <c r="AT22" s="143" t="str">
        <f t="shared" si="24"/>
        <v/>
      </c>
      <c r="AU22" s="144" t="str">
        <f t="shared" si="25"/>
        <v/>
      </c>
      <c r="AV22" s="260">
        <v>2625</v>
      </c>
      <c r="AW22" s="146">
        <f t="shared" si="26"/>
        <v>3200</v>
      </c>
      <c r="AX22" s="146" t="str">
        <f t="shared" si="27"/>
        <v/>
      </c>
      <c r="AY22" s="146" t="str">
        <f t="shared" si="28"/>
        <v/>
      </c>
      <c r="AZ22" s="146" t="str">
        <f t="shared" si="29"/>
        <v/>
      </c>
      <c r="BA22" s="42">
        <v>18</v>
      </c>
    </row>
    <row r="23" spans="1:53" ht="18" customHeight="1" x14ac:dyDescent="0.25">
      <c r="A23" s="147" t="s">
        <v>61</v>
      </c>
      <c r="B23" s="152" t="s">
        <v>62</v>
      </c>
      <c r="C23" s="147">
        <v>1</v>
      </c>
      <c r="D23" s="106" t="s">
        <v>325</v>
      </c>
      <c r="E23" s="107">
        <v>247</v>
      </c>
      <c r="F23" s="107">
        <f t="shared" si="0"/>
        <v>61</v>
      </c>
      <c r="G23" s="108">
        <v>1853</v>
      </c>
      <c r="H23" s="108" t="s">
        <v>311</v>
      </c>
      <c r="I23" s="109">
        <f t="shared" si="1"/>
        <v>2.6327043542628357E-3</v>
      </c>
      <c r="J23" s="110">
        <f>G23*'Target revenue sheet'!$F$19</f>
        <v>630.0200000000001</v>
      </c>
      <c r="K23" s="111">
        <v>541</v>
      </c>
      <c r="L23" s="112">
        <f t="shared" si="2"/>
        <v>1.9989284856546398E-3</v>
      </c>
      <c r="M23" s="113">
        <f>K23*'Target revenue sheet'!$F$20</f>
        <v>481.49</v>
      </c>
      <c r="N23" s="114">
        <v>21142</v>
      </c>
      <c r="O23" s="115">
        <f t="shared" si="3"/>
        <v>5.6446176293513707E-3</v>
      </c>
      <c r="P23" s="116">
        <f>N23*'Target revenue sheet'!$F$21</f>
        <v>1479.94</v>
      </c>
      <c r="Q23" s="117">
        <v>12827</v>
      </c>
      <c r="R23" s="118">
        <f t="shared" si="4"/>
        <v>3.1152246983621209E-3</v>
      </c>
      <c r="S23" s="119">
        <f>Q23*'Target revenue sheet'!$F$22</f>
        <v>769.62</v>
      </c>
      <c r="T23" s="120">
        <f>'Target revenue sheet'!$F$2</f>
        <v>1000</v>
      </c>
      <c r="U23" s="121">
        <f>(C23-1)*'Target revenue sheet'!$F$1</f>
        <v>0</v>
      </c>
      <c r="V23" s="122">
        <f t="shared" si="5"/>
        <v>4361.07</v>
      </c>
      <c r="W23" s="123">
        <f>IF(V23&lt;'Target revenue sheet'!$F$3,'Target revenue sheet'!$F$3,V23)</f>
        <v>4361.07</v>
      </c>
      <c r="X23" s="123"/>
      <c r="Y23" s="124">
        <v>1750</v>
      </c>
      <c r="Z23" s="125">
        <f t="shared" si="6"/>
        <v>2.3861304463427438E-3</v>
      </c>
      <c r="AA23" s="126">
        <f t="shared" si="7"/>
        <v>58</v>
      </c>
      <c r="AB23" s="127">
        <v>1900</v>
      </c>
      <c r="AC23" s="127"/>
      <c r="AD23" s="128">
        <f t="shared" si="8"/>
        <v>2515.2674999999999</v>
      </c>
      <c r="AE23" s="129">
        <f t="shared" si="9"/>
        <v>0</v>
      </c>
      <c r="AF23" s="130">
        <f t="shared" si="10"/>
        <v>2515.2674999999999</v>
      </c>
      <c r="AG23" s="131">
        <f t="shared" si="11"/>
        <v>3130.5349999999999</v>
      </c>
      <c r="AH23" s="132">
        <f t="shared" si="12"/>
        <v>0</v>
      </c>
      <c r="AI23" s="133">
        <f t="shared" si="13"/>
        <v>3130.5349999999999</v>
      </c>
      <c r="AJ23" s="134">
        <f t="shared" si="14"/>
        <v>3745.8024999999998</v>
      </c>
      <c r="AK23" s="135">
        <f t="shared" si="15"/>
        <v>0</v>
      </c>
      <c r="AL23" s="136">
        <f t="shared" si="16"/>
        <v>3745.8024999999998</v>
      </c>
      <c r="AM23" s="137">
        <f t="shared" si="17"/>
        <v>4361.07</v>
      </c>
      <c r="AN23" s="137">
        <f t="shared" si="18"/>
        <v>0</v>
      </c>
      <c r="AO23" s="138">
        <f t="shared" si="19"/>
        <v>4361.07</v>
      </c>
      <c r="AP23" s="139">
        <f t="shared" si="20"/>
        <v>2461.0699999999997</v>
      </c>
      <c r="AQ23" s="140">
        <f t="shared" si="21"/>
        <v>1.2952999999999999</v>
      </c>
      <c r="AR23" s="141">
        <f t="shared" si="22"/>
        <v>4.0866003910872825E-3</v>
      </c>
      <c r="AS23" s="142">
        <f t="shared" si="23"/>
        <v>61</v>
      </c>
      <c r="AT23" s="143">
        <f t="shared" si="24"/>
        <v>2461.0699999999997</v>
      </c>
      <c r="AU23" s="144" t="str">
        <f t="shared" si="25"/>
        <v/>
      </c>
      <c r="AV23" s="260">
        <v>1750</v>
      </c>
      <c r="AW23" s="146">
        <f t="shared" si="26"/>
        <v>4361.07</v>
      </c>
      <c r="AX23" s="146" t="str">
        <f t="shared" si="27"/>
        <v/>
      </c>
      <c r="AY23" s="146" t="str">
        <f t="shared" si="28"/>
        <v/>
      </c>
      <c r="AZ23" s="146" t="str">
        <f t="shared" si="29"/>
        <v/>
      </c>
      <c r="BA23" s="42">
        <v>22</v>
      </c>
    </row>
    <row r="24" spans="1:53" ht="18" customHeight="1" x14ac:dyDescent="0.25">
      <c r="A24" s="147" t="s">
        <v>65</v>
      </c>
      <c r="B24" s="152" t="s">
        <v>66</v>
      </c>
      <c r="C24" s="147">
        <v>1</v>
      </c>
      <c r="D24" s="106" t="s">
        <v>325</v>
      </c>
      <c r="E24" s="107">
        <v>169</v>
      </c>
      <c r="F24" s="107">
        <f t="shared" si="0"/>
        <v>39</v>
      </c>
      <c r="G24" s="108">
        <v>3633</v>
      </c>
      <c r="H24" s="108" t="s">
        <v>313</v>
      </c>
      <c r="I24" s="109">
        <f t="shared" si="1"/>
        <v>5.1616918073593534E-3</v>
      </c>
      <c r="J24" s="110">
        <f>G24*'Target revenue sheet'!$F$19</f>
        <v>1235.22</v>
      </c>
      <c r="K24" s="111">
        <v>1194</v>
      </c>
      <c r="L24" s="112">
        <f t="shared" si="2"/>
        <v>4.4116832012414788E-3</v>
      </c>
      <c r="M24" s="113">
        <f>K24*'Target revenue sheet'!$F$20</f>
        <v>1062.6600000000001</v>
      </c>
      <c r="N24" s="114">
        <v>20137</v>
      </c>
      <c r="O24" s="115">
        <f t="shared" si="3"/>
        <v>5.3762967175408453E-3</v>
      </c>
      <c r="P24" s="116">
        <f>N24*'Target revenue sheet'!$F$21</f>
        <v>1409.5900000000001</v>
      </c>
      <c r="Q24" s="117">
        <v>37799</v>
      </c>
      <c r="R24" s="118">
        <f t="shared" si="4"/>
        <v>9.1800404126755903E-3</v>
      </c>
      <c r="S24" s="119">
        <f>Q24*'Target revenue sheet'!$F$22</f>
        <v>2267.94</v>
      </c>
      <c r="T24" s="120">
        <f>'Target revenue sheet'!$F$2</f>
        <v>1000</v>
      </c>
      <c r="U24" s="121">
        <f>(C24-1)*'Target revenue sheet'!$F$1</f>
        <v>0</v>
      </c>
      <c r="V24" s="122">
        <f t="shared" si="5"/>
        <v>6975.41</v>
      </c>
      <c r="W24" s="123">
        <f>IF(V24&lt;'Target revenue sheet'!$F$3,'Target revenue sheet'!$F$3,V24)</f>
        <v>6975.41</v>
      </c>
      <c r="X24" s="123"/>
      <c r="Y24" s="124">
        <v>1750</v>
      </c>
      <c r="Z24" s="125">
        <f t="shared" si="6"/>
        <v>2.3861304463427438E-3</v>
      </c>
      <c r="AA24" s="126">
        <f t="shared" si="7"/>
        <v>58</v>
      </c>
      <c r="AB24" s="127">
        <v>1900</v>
      </c>
      <c r="AC24" s="127"/>
      <c r="AD24" s="128">
        <f t="shared" si="8"/>
        <v>3168.8525</v>
      </c>
      <c r="AE24" s="129">
        <f t="shared" si="9"/>
        <v>0</v>
      </c>
      <c r="AF24" s="130">
        <f t="shared" si="10"/>
        <v>3168.8525</v>
      </c>
      <c r="AG24" s="131">
        <f t="shared" si="11"/>
        <v>4437.7049999999999</v>
      </c>
      <c r="AH24" s="132">
        <f t="shared" si="12"/>
        <v>0</v>
      </c>
      <c r="AI24" s="133">
        <f t="shared" si="13"/>
        <v>4437.7049999999999</v>
      </c>
      <c r="AJ24" s="134">
        <f t="shared" si="14"/>
        <v>5706.5574999999999</v>
      </c>
      <c r="AK24" s="135">
        <f t="shared" si="15"/>
        <v>0</v>
      </c>
      <c r="AL24" s="136">
        <f t="shared" si="16"/>
        <v>5706.5574999999999</v>
      </c>
      <c r="AM24" s="137">
        <f t="shared" si="17"/>
        <v>6975.41</v>
      </c>
      <c r="AN24" s="137">
        <f t="shared" si="18"/>
        <v>0</v>
      </c>
      <c r="AO24" s="138">
        <f t="shared" si="19"/>
        <v>6975.41</v>
      </c>
      <c r="AP24" s="139">
        <f t="shared" si="20"/>
        <v>5075.41</v>
      </c>
      <c r="AQ24" s="140">
        <f t="shared" si="21"/>
        <v>2.6712684210526314</v>
      </c>
      <c r="AR24" s="141">
        <f t="shared" si="22"/>
        <v>6.5364035051017622E-3</v>
      </c>
      <c r="AS24" s="142">
        <f t="shared" si="23"/>
        <v>36</v>
      </c>
      <c r="AT24" s="143">
        <f t="shared" si="24"/>
        <v>5075.41</v>
      </c>
      <c r="AU24" s="144">
        <f t="shared" si="25"/>
        <v>5075.41</v>
      </c>
      <c r="AV24" s="260">
        <v>875</v>
      </c>
      <c r="AW24" s="146" t="str">
        <f t="shared" si="26"/>
        <v/>
      </c>
      <c r="AX24" s="146">
        <f t="shared" si="27"/>
        <v>6975.41</v>
      </c>
      <c r="AY24" s="146" t="str">
        <f t="shared" si="28"/>
        <v/>
      </c>
      <c r="AZ24" s="146" t="str">
        <f t="shared" si="29"/>
        <v/>
      </c>
      <c r="BA24" s="42">
        <v>24</v>
      </c>
    </row>
    <row r="25" spans="1:53" ht="18" customHeight="1" x14ac:dyDescent="0.25">
      <c r="A25" s="104" t="s">
        <v>63</v>
      </c>
      <c r="B25" s="105" t="s">
        <v>64</v>
      </c>
      <c r="C25" s="104">
        <v>1</v>
      </c>
      <c r="D25" s="106" t="s">
        <v>325</v>
      </c>
      <c r="E25" s="107">
        <v>302</v>
      </c>
      <c r="F25" s="107">
        <f t="shared" si="0"/>
        <v>79</v>
      </c>
      <c r="G25" s="108">
        <v>1586</v>
      </c>
      <c r="H25" s="108" t="s">
        <v>311</v>
      </c>
      <c r="I25" s="109">
        <f t="shared" si="1"/>
        <v>2.2533562362983578E-3</v>
      </c>
      <c r="J25" s="110">
        <f>G25*'Target revenue sheet'!$F$19</f>
        <v>539.24</v>
      </c>
      <c r="K25" s="111">
        <v>431</v>
      </c>
      <c r="L25" s="112">
        <f t="shared" si="2"/>
        <v>1.592492009828373E-3</v>
      </c>
      <c r="M25" s="113">
        <f>K25*'Target revenue sheet'!$F$20</f>
        <v>383.59000000000003</v>
      </c>
      <c r="N25" s="114">
        <v>13437</v>
      </c>
      <c r="O25" s="115">
        <f t="shared" si="3"/>
        <v>3.5874906388040097E-3</v>
      </c>
      <c r="P25" s="116">
        <f>N25*'Target revenue sheet'!$F$21</f>
        <v>940.59000000000015</v>
      </c>
      <c r="Q25" s="117">
        <v>5527</v>
      </c>
      <c r="R25" s="118">
        <f t="shared" si="4"/>
        <v>1.3423128485107541E-3</v>
      </c>
      <c r="S25" s="119">
        <f>Q25*'Target revenue sheet'!$F$22</f>
        <v>331.62</v>
      </c>
      <c r="T25" s="120">
        <f>'Target revenue sheet'!$F$2</f>
        <v>1000</v>
      </c>
      <c r="U25" s="121">
        <f>(C25-1)*'Target revenue sheet'!$F$1</f>
        <v>0</v>
      </c>
      <c r="V25" s="122">
        <f t="shared" si="5"/>
        <v>3195.04</v>
      </c>
      <c r="W25" s="123">
        <f>IF(V25&lt;'Target revenue sheet'!$F$3,'Target revenue sheet'!$F$3,V25)</f>
        <v>3200</v>
      </c>
      <c r="X25" s="123"/>
      <c r="Y25" s="124">
        <v>2930</v>
      </c>
      <c r="Z25" s="125">
        <f t="shared" si="6"/>
        <v>3.9950641187338513E-3</v>
      </c>
      <c r="AA25" s="126">
        <f t="shared" si="7"/>
        <v>29</v>
      </c>
      <c r="AB25" s="127">
        <v>3080</v>
      </c>
      <c r="AC25" s="127"/>
      <c r="AD25" s="128">
        <f t="shared" si="8"/>
        <v>3110</v>
      </c>
      <c r="AE25" s="129">
        <f t="shared" si="9"/>
        <v>0</v>
      </c>
      <c r="AF25" s="130">
        <f t="shared" si="10"/>
        <v>3110</v>
      </c>
      <c r="AG25" s="131">
        <f t="shared" si="11"/>
        <v>3140</v>
      </c>
      <c r="AH25" s="132">
        <f t="shared" si="12"/>
        <v>0</v>
      </c>
      <c r="AI25" s="133">
        <f t="shared" si="13"/>
        <v>3140</v>
      </c>
      <c r="AJ25" s="134">
        <f t="shared" si="14"/>
        <v>3170</v>
      </c>
      <c r="AK25" s="135">
        <f t="shared" si="15"/>
        <v>0</v>
      </c>
      <c r="AL25" s="136">
        <f t="shared" si="16"/>
        <v>3170</v>
      </c>
      <c r="AM25" s="137">
        <f t="shared" si="17"/>
        <v>3200</v>
      </c>
      <c r="AN25" s="137">
        <f t="shared" si="18"/>
        <v>0</v>
      </c>
      <c r="AO25" s="138">
        <f t="shared" si="19"/>
        <v>3200</v>
      </c>
      <c r="AP25" s="139">
        <f t="shared" si="20"/>
        <v>120</v>
      </c>
      <c r="AQ25" s="140">
        <f t="shared" si="21"/>
        <v>3.896103896103896E-2</v>
      </c>
      <c r="AR25" s="141">
        <f t="shared" si="22"/>
        <v>2.9986038406811409E-3</v>
      </c>
      <c r="AS25" s="142">
        <f t="shared" si="23"/>
        <v>81</v>
      </c>
      <c r="AT25" s="143" t="str">
        <f t="shared" si="24"/>
        <v/>
      </c>
      <c r="AU25" s="144" t="str">
        <f t="shared" si="25"/>
        <v/>
      </c>
      <c r="AV25" s="260">
        <v>2625</v>
      </c>
      <c r="AW25" s="146">
        <f t="shared" si="26"/>
        <v>3200</v>
      </c>
      <c r="AX25" s="146" t="str">
        <f t="shared" si="27"/>
        <v/>
      </c>
      <c r="AY25" s="146" t="str">
        <f t="shared" si="28"/>
        <v/>
      </c>
      <c r="AZ25" s="146" t="str">
        <f t="shared" si="29"/>
        <v/>
      </c>
      <c r="BA25" s="42">
        <v>23</v>
      </c>
    </row>
    <row r="26" spans="1:53" ht="15" x14ac:dyDescent="0.25">
      <c r="A26" s="104" t="s">
        <v>67</v>
      </c>
      <c r="B26" s="105" t="s">
        <v>68</v>
      </c>
      <c r="C26" s="104">
        <v>1</v>
      </c>
      <c r="D26" s="106" t="s">
        <v>325</v>
      </c>
      <c r="E26" s="107">
        <v>71</v>
      </c>
      <c r="F26" s="107">
        <f t="shared" si="0"/>
        <v>16</v>
      </c>
      <c r="G26" s="108">
        <v>6482</v>
      </c>
      <c r="H26" s="108" t="s">
        <v>312</v>
      </c>
      <c r="I26" s="109">
        <f t="shared" si="1"/>
        <v>9.2094925117818145E-3</v>
      </c>
      <c r="J26" s="110">
        <f>G26*'Target revenue sheet'!$F$19</f>
        <v>2203.88</v>
      </c>
      <c r="K26" s="111">
        <v>2965</v>
      </c>
      <c r="L26" s="112">
        <f t="shared" si="2"/>
        <v>1.0955310462044376E-2</v>
      </c>
      <c r="M26" s="113">
        <f>K26*'Target revenue sheet'!$F$20</f>
        <v>2638.85</v>
      </c>
      <c r="N26" s="114">
        <v>42302</v>
      </c>
      <c r="O26" s="115">
        <f t="shared" si="3"/>
        <v>1.1294041006376961E-2</v>
      </c>
      <c r="P26" s="116">
        <f>N26*'Target revenue sheet'!$F$21</f>
        <v>2961.1400000000003</v>
      </c>
      <c r="Q26" s="117">
        <v>87180</v>
      </c>
      <c r="R26" s="118">
        <f t="shared" si="4"/>
        <v>2.1172939050690707E-2</v>
      </c>
      <c r="S26" s="119">
        <f>Q26*'Target revenue sheet'!$F$22</f>
        <v>5230.8</v>
      </c>
      <c r="T26" s="120">
        <f>'Target revenue sheet'!$F$2</f>
        <v>1000</v>
      </c>
      <c r="U26" s="121">
        <f>(C26-1)*'Target revenue sheet'!$F$1</f>
        <v>0</v>
      </c>
      <c r="V26" s="122">
        <f t="shared" si="5"/>
        <v>14034.67</v>
      </c>
      <c r="W26" s="123">
        <f>IF(V26&lt;'Target revenue sheet'!$F$3,'Target revenue sheet'!$F$3,V26)</f>
        <v>14034.67</v>
      </c>
      <c r="X26" s="123"/>
      <c r="Y26" s="124">
        <v>10114</v>
      </c>
      <c r="Z26" s="125">
        <f t="shared" si="6"/>
        <v>1.3790470476748863E-2</v>
      </c>
      <c r="AA26" s="126">
        <f t="shared" si="7"/>
        <v>14</v>
      </c>
      <c r="AB26" s="127">
        <v>10417</v>
      </c>
      <c r="AC26" s="127"/>
      <c r="AD26" s="128">
        <f t="shared" si="8"/>
        <v>11321.4175</v>
      </c>
      <c r="AE26" s="129">
        <f t="shared" si="9"/>
        <v>0</v>
      </c>
      <c r="AF26" s="130">
        <f t="shared" si="10"/>
        <v>11321.4175</v>
      </c>
      <c r="AG26" s="131">
        <f t="shared" si="11"/>
        <v>12225.834999999999</v>
      </c>
      <c r="AH26" s="132">
        <f t="shared" si="12"/>
        <v>0</v>
      </c>
      <c r="AI26" s="133">
        <f t="shared" si="13"/>
        <v>12225.834999999999</v>
      </c>
      <c r="AJ26" s="134">
        <f t="shared" si="14"/>
        <v>13130.252500000001</v>
      </c>
      <c r="AK26" s="135">
        <f t="shared" si="15"/>
        <v>0</v>
      </c>
      <c r="AL26" s="136">
        <f t="shared" si="16"/>
        <v>13130.252500000001</v>
      </c>
      <c r="AM26" s="137">
        <f t="shared" si="17"/>
        <v>14034.67</v>
      </c>
      <c r="AN26" s="137">
        <f t="shared" si="18"/>
        <v>0</v>
      </c>
      <c r="AO26" s="138">
        <f t="shared" si="19"/>
        <v>14034.67</v>
      </c>
      <c r="AP26" s="139">
        <f t="shared" si="20"/>
        <v>3617.67</v>
      </c>
      <c r="AQ26" s="140">
        <f t="shared" si="21"/>
        <v>0.34728520687338005</v>
      </c>
      <c r="AR26" s="141">
        <f t="shared" si="22"/>
        <v>1.3151379801466372E-2</v>
      </c>
      <c r="AS26" s="142">
        <f t="shared" si="23"/>
        <v>16</v>
      </c>
      <c r="AT26" s="143" t="str">
        <f t="shared" si="24"/>
        <v/>
      </c>
      <c r="AU26" s="144" t="str">
        <f t="shared" si="25"/>
        <v/>
      </c>
      <c r="AV26" s="260">
        <v>1750</v>
      </c>
      <c r="AW26" s="146" t="str">
        <f t="shared" si="26"/>
        <v/>
      </c>
      <c r="AX26" s="146" t="str">
        <f t="shared" si="27"/>
        <v/>
      </c>
      <c r="AY26" s="146">
        <f t="shared" si="28"/>
        <v>14034.67</v>
      </c>
      <c r="AZ26" s="146" t="str">
        <f t="shared" si="29"/>
        <v/>
      </c>
      <c r="BA26" s="42">
        <v>25</v>
      </c>
    </row>
    <row r="27" spans="1:53" ht="18" customHeight="1" x14ac:dyDescent="0.25">
      <c r="A27" s="147" t="s">
        <v>71</v>
      </c>
      <c r="B27" s="152" t="s">
        <v>72</v>
      </c>
      <c r="C27" s="147">
        <v>1</v>
      </c>
      <c r="D27" s="106" t="s">
        <v>325</v>
      </c>
      <c r="E27" s="107">
        <v>111</v>
      </c>
      <c r="F27" s="107">
        <f t="shared" si="0"/>
        <v>24</v>
      </c>
      <c r="G27" s="108">
        <v>4746</v>
      </c>
      <c r="H27" s="108" t="s">
        <v>312</v>
      </c>
      <c r="I27" s="109">
        <f t="shared" si="1"/>
        <v>6.743019355278693E-3</v>
      </c>
      <c r="J27" s="110">
        <f>G27*'Target revenue sheet'!$F$19</f>
        <v>1613.64</v>
      </c>
      <c r="K27" s="111">
        <v>1721</v>
      </c>
      <c r="L27" s="112">
        <f t="shared" si="2"/>
        <v>6.3588834081545935E-3</v>
      </c>
      <c r="M27" s="113">
        <f>K27*'Target revenue sheet'!$F$20</f>
        <v>1531.69</v>
      </c>
      <c r="N27" s="114">
        <v>38068</v>
      </c>
      <c r="O27" s="115">
        <f t="shared" si="3"/>
        <v>1.0163622359008041E-2</v>
      </c>
      <c r="P27" s="116">
        <f>N27*'Target revenue sheet'!$F$21</f>
        <v>2664.76</v>
      </c>
      <c r="Q27" s="117">
        <v>33698</v>
      </c>
      <c r="R27" s="118">
        <f t="shared" si="4"/>
        <v>8.1840525364782687E-3</v>
      </c>
      <c r="S27" s="119">
        <f>Q27*'Target revenue sheet'!$F$22</f>
        <v>2021.8799999999999</v>
      </c>
      <c r="T27" s="120">
        <f>'Target revenue sheet'!$F$2</f>
        <v>1000</v>
      </c>
      <c r="U27" s="121">
        <f>(C27-1)*'Target revenue sheet'!$F$1</f>
        <v>0</v>
      </c>
      <c r="V27" s="122">
        <f t="shared" si="5"/>
        <v>8831.9700000000012</v>
      </c>
      <c r="W27" s="123">
        <f>IF(V27&lt;'Target revenue sheet'!$F$3,'Target revenue sheet'!$F$3,V27)</f>
        <v>8831.9700000000012</v>
      </c>
      <c r="X27" s="123"/>
      <c r="Y27" s="124">
        <v>1750</v>
      </c>
      <c r="Z27" s="125">
        <f t="shared" si="6"/>
        <v>2.3861304463427438E-3</v>
      </c>
      <c r="AA27" s="126">
        <f t="shared" si="7"/>
        <v>58</v>
      </c>
      <c r="AB27" s="127">
        <v>1900</v>
      </c>
      <c r="AC27" s="127"/>
      <c r="AD27" s="128">
        <f t="shared" si="8"/>
        <v>3632.9925000000003</v>
      </c>
      <c r="AE27" s="129">
        <f t="shared" si="9"/>
        <v>0</v>
      </c>
      <c r="AF27" s="130">
        <f t="shared" si="10"/>
        <v>3632.9925000000003</v>
      </c>
      <c r="AG27" s="131">
        <f t="shared" si="11"/>
        <v>5365.9850000000006</v>
      </c>
      <c r="AH27" s="132">
        <f t="shared" si="12"/>
        <v>0</v>
      </c>
      <c r="AI27" s="133">
        <f t="shared" si="13"/>
        <v>5365.9850000000006</v>
      </c>
      <c r="AJ27" s="134">
        <f t="shared" si="14"/>
        <v>7098.9775000000009</v>
      </c>
      <c r="AK27" s="135">
        <f t="shared" si="15"/>
        <v>0</v>
      </c>
      <c r="AL27" s="136">
        <f t="shared" si="16"/>
        <v>7098.9775000000009</v>
      </c>
      <c r="AM27" s="137">
        <f t="shared" si="17"/>
        <v>8831.9700000000012</v>
      </c>
      <c r="AN27" s="137">
        <f t="shared" si="18"/>
        <v>0</v>
      </c>
      <c r="AO27" s="138">
        <f t="shared" si="19"/>
        <v>8831.9700000000012</v>
      </c>
      <c r="AP27" s="139">
        <f t="shared" si="20"/>
        <v>6931.9700000000012</v>
      </c>
      <c r="AQ27" s="140">
        <f t="shared" si="21"/>
        <v>3.6484052631578954</v>
      </c>
      <c r="AR27" s="141">
        <f t="shared" si="22"/>
        <v>8.2761184883689432E-3</v>
      </c>
      <c r="AS27" s="142">
        <f t="shared" si="23"/>
        <v>27</v>
      </c>
      <c r="AT27" s="143">
        <f t="shared" si="24"/>
        <v>6931.9700000000012</v>
      </c>
      <c r="AU27" s="144">
        <f t="shared" si="25"/>
        <v>6931.9700000000012</v>
      </c>
      <c r="AV27" s="260">
        <v>875</v>
      </c>
      <c r="AW27" s="146" t="str">
        <f t="shared" si="26"/>
        <v/>
      </c>
      <c r="AX27" s="146" t="str">
        <f t="shared" si="27"/>
        <v/>
      </c>
      <c r="AY27" s="146">
        <f t="shared" si="28"/>
        <v>8831.9700000000012</v>
      </c>
      <c r="AZ27" s="146" t="str">
        <f t="shared" si="29"/>
        <v/>
      </c>
      <c r="BA27" s="42">
        <v>27</v>
      </c>
    </row>
    <row r="28" spans="1:53" ht="18" customHeight="1" x14ac:dyDescent="0.25">
      <c r="A28" s="147" t="s">
        <v>73</v>
      </c>
      <c r="B28" s="105" t="s">
        <v>74</v>
      </c>
      <c r="C28" s="147">
        <v>1</v>
      </c>
      <c r="D28" s="106" t="s">
        <v>325</v>
      </c>
      <c r="E28" s="107">
        <v>64</v>
      </c>
      <c r="F28" s="107">
        <f t="shared" si="0"/>
        <v>15</v>
      </c>
      <c r="G28" s="108">
        <v>6553</v>
      </c>
      <c r="H28" s="108" t="s">
        <v>312</v>
      </c>
      <c r="I28" s="109">
        <f t="shared" si="1"/>
        <v>9.3103678540120676E-3</v>
      </c>
      <c r="J28" s="110">
        <f>G28*'Target revenue sheet'!$F$19</f>
        <v>2228.02</v>
      </c>
      <c r="K28" s="111">
        <v>3281</v>
      </c>
      <c r="L28" s="112">
        <f t="shared" si="2"/>
        <v>1.2122891610781651E-2</v>
      </c>
      <c r="M28" s="113">
        <f>K28*'Target revenue sheet'!$F$20</f>
        <v>2920.09</v>
      </c>
      <c r="N28" s="114">
        <v>46466</v>
      </c>
      <c r="O28" s="115">
        <f t="shared" si="3"/>
        <v>1.2405770635012808E-2</v>
      </c>
      <c r="P28" s="116">
        <f>N28*'Target revenue sheet'!$F$21</f>
        <v>3252.6200000000003</v>
      </c>
      <c r="Q28" s="117">
        <v>130624</v>
      </c>
      <c r="R28" s="118">
        <f t="shared" si="4"/>
        <v>3.1723950339039034E-2</v>
      </c>
      <c r="S28" s="119">
        <f>Q28*'Target revenue sheet'!$F$22</f>
        <v>7837.44</v>
      </c>
      <c r="T28" s="120">
        <f>'Target revenue sheet'!$F$2</f>
        <v>1000</v>
      </c>
      <c r="U28" s="121">
        <f>(C28-1)*'Target revenue sheet'!$F$1</f>
        <v>0</v>
      </c>
      <c r="V28" s="122">
        <f t="shared" si="5"/>
        <v>17238.170000000002</v>
      </c>
      <c r="W28" s="123">
        <f>IF(V28&lt;'Target revenue sheet'!$F$3,'Target revenue sheet'!$F$3,V28)</f>
        <v>17238.170000000002</v>
      </c>
      <c r="X28" s="123"/>
      <c r="Y28" s="124">
        <v>8849</v>
      </c>
      <c r="Z28" s="125">
        <f t="shared" si="6"/>
        <v>1.2065639039821108E-2</v>
      </c>
      <c r="AA28" s="126">
        <f t="shared" si="7"/>
        <v>16</v>
      </c>
      <c r="AB28" s="127">
        <v>9114</v>
      </c>
      <c r="AC28" s="127"/>
      <c r="AD28" s="128">
        <f t="shared" si="8"/>
        <v>11145.0425</v>
      </c>
      <c r="AE28" s="129">
        <f t="shared" si="9"/>
        <v>0</v>
      </c>
      <c r="AF28" s="130">
        <f t="shared" si="10"/>
        <v>11145.0425</v>
      </c>
      <c r="AG28" s="131">
        <f t="shared" si="11"/>
        <v>13176.085000000001</v>
      </c>
      <c r="AH28" s="132">
        <f t="shared" si="12"/>
        <v>0</v>
      </c>
      <c r="AI28" s="133">
        <f t="shared" si="13"/>
        <v>13176.085000000001</v>
      </c>
      <c r="AJ28" s="134">
        <f t="shared" si="14"/>
        <v>15207.127500000002</v>
      </c>
      <c r="AK28" s="135">
        <f t="shared" si="15"/>
        <v>0</v>
      </c>
      <c r="AL28" s="136">
        <f t="shared" si="16"/>
        <v>15207.127500000002</v>
      </c>
      <c r="AM28" s="137">
        <f t="shared" si="17"/>
        <v>17238.170000000002</v>
      </c>
      <c r="AN28" s="137">
        <f t="shared" si="18"/>
        <v>0</v>
      </c>
      <c r="AO28" s="138">
        <f t="shared" si="19"/>
        <v>17238.170000000002</v>
      </c>
      <c r="AP28" s="139">
        <f t="shared" si="20"/>
        <v>8124.1700000000019</v>
      </c>
      <c r="AQ28" s="140">
        <f t="shared" si="21"/>
        <v>0.89139455782312949</v>
      </c>
      <c r="AR28" s="141">
        <f t="shared" si="22"/>
        <v>1.6153263365098258E-2</v>
      </c>
      <c r="AS28" s="142">
        <f t="shared" si="23"/>
        <v>15</v>
      </c>
      <c r="AT28" s="143" t="str">
        <f t="shared" si="24"/>
        <v/>
      </c>
      <c r="AU28" s="144" t="str">
        <f t="shared" si="25"/>
        <v/>
      </c>
      <c r="AV28" s="260">
        <v>1750</v>
      </c>
      <c r="AW28" s="146" t="str">
        <f t="shared" si="26"/>
        <v/>
      </c>
      <c r="AX28" s="146" t="str">
        <f t="shared" si="27"/>
        <v/>
      </c>
      <c r="AY28" s="146">
        <f t="shared" si="28"/>
        <v>17238.170000000002</v>
      </c>
      <c r="AZ28" s="146" t="str">
        <f t="shared" si="29"/>
        <v/>
      </c>
      <c r="BA28" s="42">
        <v>28</v>
      </c>
    </row>
    <row r="29" spans="1:53" ht="18" customHeight="1" x14ac:dyDescent="0.25">
      <c r="A29" s="147" t="s">
        <v>77</v>
      </c>
      <c r="B29" s="105" t="s">
        <v>78</v>
      </c>
      <c r="C29" s="147">
        <v>1</v>
      </c>
      <c r="D29" s="106" t="s">
        <v>325</v>
      </c>
      <c r="E29" s="107">
        <v>99</v>
      </c>
      <c r="F29" s="107">
        <f t="shared" si="0"/>
        <v>20</v>
      </c>
      <c r="G29" s="108">
        <v>6925</v>
      </c>
      <c r="H29" s="108" t="s">
        <v>312</v>
      </c>
      <c r="I29" s="109">
        <f t="shared" si="1"/>
        <v>9.8388978161198792E-3</v>
      </c>
      <c r="J29" s="110">
        <f>G29*'Target revenue sheet'!$F$19</f>
        <v>2354.5</v>
      </c>
      <c r="K29" s="111">
        <v>2460</v>
      </c>
      <c r="L29" s="112">
        <f t="shared" si="2"/>
        <v>9.089397550296514E-3</v>
      </c>
      <c r="M29" s="113">
        <f>K29*'Target revenue sheet'!$F$20</f>
        <v>2189.4</v>
      </c>
      <c r="N29" s="114">
        <v>33744</v>
      </c>
      <c r="O29" s="115">
        <f t="shared" si="3"/>
        <v>9.0091749732680287E-3</v>
      </c>
      <c r="P29" s="116">
        <f>N29*'Target revenue sheet'!$F$21</f>
        <v>2362.0800000000004</v>
      </c>
      <c r="Q29" s="117">
        <v>26350</v>
      </c>
      <c r="R29" s="118">
        <f t="shared" si="4"/>
        <v>6.3994831840525363E-3</v>
      </c>
      <c r="S29" s="119">
        <f>Q29*'Target revenue sheet'!$F$22</f>
        <v>1581</v>
      </c>
      <c r="T29" s="120">
        <f>'Target revenue sheet'!$F$2</f>
        <v>1000</v>
      </c>
      <c r="U29" s="121">
        <f>(C29-1)*'Target revenue sheet'!$F$1</f>
        <v>0</v>
      </c>
      <c r="V29" s="122">
        <f t="shared" si="5"/>
        <v>9486.98</v>
      </c>
      <c r="W29" s="123">
        <f>IF(V29&lt;'Target revenue sheet'!$F$3,'Target revenue sheet'!$F$3,V29)</f>
        <v>9486.98</v>
      </c>
      <c r="X29" s="123"/>
      <c r="Y29" s="124">
        <v>5286</v>
      </c>
      <c r="Z29" s="125">
        <f t="shared" si="6"/>
        <v>7.2074774510672819E-3</v>
      </c>
      <c r="AA29" s="126">
        <f t="shared" si="7"/>
        <v>21</v>
      </c>
      <c r="AB29" s="127">
        <v>5445</v>
      </c>
      <c r="AC29" s="127"/>
      <c r="AD29" s="128">
        <f t="shared" si="8"/>
        <v>6455.4949999999999</v>
      </c>
      <c r="AE29" s="129">
        <f t="shared" si="9"/>
        <v>0</v>
      </c>
      <c r="AF29" s="130">
        <f t="shared" si="10"/>
        <v>6455.4949999999999</v>
      </c>
      <c r="AG29" s="131">
        <f t="shared" si="11"/>
        <v>7465.99</v>
      </c>
      <c r="AH29" s="132">
        <f t="shared" si="12"/>
        <v>0</v>
      </c>
      <c r="AI29" s="133">
        <f t="shared" si="13"/>
        <v>7465.99</v>
      </c>
      <c r="AJ29" s="134">
        <f t="shared" si="14"/>
        <v>8476.4850000000006</v>
      </c>
      <c r="AK29" s="135">
        <f t="shared" si="15"/>
        <v>0</v>
      </c>
      <c r="AL29" s="136">
        <f t="shared" si="16"/>
        <v>8476.4850000000006</v>
      </c>
      <c r="AM29" s="137">
        <f t="shared" si="17"/>
        <v>9486.98</v>
      </c>
      <c r="AN29" s="137">
        <f t="shared" si="18"/>
        <v>0</v>
      </c>
      <c r="AO29" s="138">
        <f t="shared" si="19"/>
        <v>9486.98</v>
      </c>
      <c r="AP29" s="139">
        <f t="shared" si="20"/>
        <v>4041.9799999999996</v>
      </c>
      <c r="AQ29" s="140">
        <f t="shared" si="21"/>
        <v>0.74232874196510557</v>
      </c>
      <c r="AR29" s="141">
        <f t="shared" si="22"/>
        <v>8.8899045826453665E-3</v>
      </c>
      <c r="AS29" s="142">
        <f t="shared" si="23"/>
        <v>22</v>
      </c>
      <c r="AT29" s="143" t="str">
        <f t="shared" si="24"/>
        <v/>
      </c>
      <c r="AU29" s="144" t="str">
        <f t="shared" si="25"/>
        <v/>
      </c>
      <c r="AV29" s="260">
        <v>1750</v>
      </c>
      <c r="AW29" s="146" t="str">
        <f t="shared" si="26"/>
        <v/>
      </c>
      <c r="AX29" s="146" t="str">
        <f t="shared" si="27"/>
        <v/>
      </c>
      <c r="AY29" s="146">
        <f t="shared" si="28"/>
        <v>9486.98</v>
      </c>
      <c r="AZ29" s="146" t="str">
        <f t="shared" si="29"/>
        <v/>
      </c>
      <c r="BA29" s="42">
        <v>30</v>
      </c>
    </row>
    <row r="30" spans="1:53" ht="18" customHeight="1" x14ac:dyDescent="0.25">
      <c r="A30" s="104" t="s">
        <v>75</v>
      </c>
      <c r="B30" s="105" t="s">
        <v>76</v>
      </c>
      <c r="C30" s="104">
        <v>1</v>
      </c>
      <c r="D30" s="106" t="s">
        <v>325</v>
      </c>
      <c r="E30" s="107">
        <v>342</v>
      </c>
      <c r="F30" s="107">
        <f t="shared" si="0"/>
        <v>88</v>
      </c>
      <c r="G30" s="108">
        <v>1828</v>
      </c>
      <c r="H30" s="108" t="s">
        <v>311</v>
      </c>
      <c r="I30" s="109">
        <f t="shared" si="1"/>
        <v>2.5971848675620419E-3</v>
      </c>
      <c r="J30" s="110">
        <f>G30*'Target revenue sheet'!$F$19</f>
        <v>621.5200000000001</v>
      </c>
      <c r="K30" s="111">
        <v>15</v>
      </c>
      <c r="L30" s="112">
        <f t="shared" si="2"/>
        <v>5.5423155794490936E-5</v>
      </c>
      <c r="M30" s="113">
        <f>K30*'Target revenue sheet'!$F$20</f>
        <v>13.35</v>
      </c>
      <c r="N30" s="114">
        <v>12898</v>
      </c>
      <c r="O30" s="115">
        <f t="shared" si="3"/>
        <v>3.4435851945593598E-3</v>
      </c>
      <c r="P30" s="116">
        <f>N30*'Target revenue sheet'!$F$21</f>
        <v>902.86000000000013</v>
      </c>
      <c r="Q30" s="117">
        <v>0</v>
      </c>
      <c r="R30" s="118">
        <f t="shared" si="4"/>
        <v>0</v>
      </c>
      <c r="S30" s="119">
        <f>Q30*'Target revenue sheet'!$F$22</f>
        <v>0</v>
      </c>
      <c r="T30" s="120">
        <f>'Target revenue sheet'!$F$2</f>
        <v>1000</v>
      </c>
      <c r="U30" s="121">
        <f>(C30-1)*'Target revenue sheet'!$F$1</f>
        <v>0</v>
      </c>
      <c r="V30" s="122">
        <f t="shared" si="5"/>
        <v>2537.7300000000005</v>
      </c>
      <c r="W30" s="123">
        <f>IF(V30&lt;'Target revenue sheet'!$F$3,'Target revenue sheet'!$F$3,V30)</f>
        <v>3200</v>
      </c>
      <c r="X30" s="123"/>
      <c r="Y30" s="124">
        <v>1750</v>
      </c>
      <c r="Z30" s="125">
        <f t="shared" si="6"/>
        <v>2.3861304463427438E-3</v>
      </c>
      <c r="AA30" s="126">
        <f t="shared" si="7"/>
        <v>58</v>
      </c>
      <c r="AB30" s="127">
        <v>1900</v>
      </c>
      <c r="AC30" s="127"/>
      <c r="AD30" s="128">
        <f t="shared" si="8"/>
        <v>2225</v>
      </c>
      <c r="AE30" s="129">
        <f t="shared" si="9"/>
        <v>0</v>
      </c>
      <c r="AF30" s="130">
        <f t="shared" si="10"/>
        <v>2225</v>
      </c>
      <c r="AG30" s="131">
        <f t="shared" si="11"/>
        <v>2550</v>
      </c>
      <c r="AH30" s="132">
        <f t="shared" si="12"/>
        <v>0</v>
      </c>
      <c r="AI30" s="133">
        <f t="shared" si="13"/>
        <v>2550</v>
      </c>
      <c r="AJ30" s="134">
        <f t="shared" si="14"/>
        <v>2875</v>
      </c>
      <c r="AK30" s="135">
        <f t="shared" si="15"/>
        <v>0</v>
      </c>
      <c r="AL30" s="136">
        <f t="shared" si="16"/>
        <v>2875</v>
      </c>
      <c r="AM30" s="137">
        <f t="shared" si="17"/>
        <v>3200</v>
      </c>
      <c r="AN30" s="137">
        <f t="shared" si="18"/>
        <v>0</v>
      </c>
      <c r="AO30" s="138">
        <f t="shared" si="19"/>
        <v>3200</v>
      </c>
      <c r="AP30" s="139">
        <f t="shared" si="20"/>
        <v>1300</v>
      </c>
      <c r="AQ30" s="140">
        <f t="shared" si="21"/>
        <v>0.68421052631578949</v>
      </c>
      <c r="AR30" s="141">
        <f t="shared" si="22"/>
        <v>2.9986038406811409E-3</v>
      </c>
      <c r="AS30" s="142">
        <f t="shared" si="23"/>
        <v>81</v>
      </c>
      <c r="AT30" s="143" t="str">
        <f t="shared" si="24"/>
        <v/>
      </c>
      <c r="AU30" s="144" t="str">
        <f t="shared" si="25"/>
        <v/>
      </c>
      <c r="AV30" s="261">
        <v>3500</v>
      </c>
      <c r="AW30" s="146">
        <f t="shared" si="26"/>
        <v>3200</v>
      </c>
      <c r="AX30" s="146" t="str">
        <f t="shared" si="27"/>
        <v/>
      </c>
      <c r="AY30" s="146" t="str">
        <f t="shared" si="28"/>
        <v/>
      </c>
      <c r="AZ30" s="146" t="str">
        <f t="shared" si="29"/>
        <v/>
      </c>
      <c r="BA30" s="42">
        <v>29</v>
      </c>
    </row>
    <row r="31" spans="1:53" ht="18" customHeight="1" x14ac:dyDescent="0.25">
      <c r="A31" s="147" t="s">
        <v>80</v>
      </c>
      <c r="B31" s="152" t="s">
        <v>81</v>
      </c>
      <c r="C31" s="147">
        <v>1</v>
      </c>
      <c r="D31" s="106" t="s">
        <v>325</v>
      </c>
      <c r="E31" s="107">
        <v>195</v>
      </c>
      <c r="F31" s="107">
        <f t="shared" si="0"/>
        <v>47</v>
      </c>
      <c r="G31" s="108">
        <v>1928</v>
      </c>
      <c r="H31" s="108" t="s">
        <v>311</v>
      </c>
      <c r="I31" s="109">
        <f t="shared" si="1"/>
        <v>2.7392628143652169E-3</v>
      </c>
      <c r="J31" s="110">
        <f>G31*'Target revenue sheet'!$F$19</f>
        <v>655.5200000000001</v>
      </c>
      <c r="K31" s="111">
        <v>1616</v>
      </c>
      <c r="L31" s="112">
        <f t="shared" si="2"/>
        <v>5.9709213175931572E-3</v>
      </c>
      <c r="M31" s="113">
        <f>K31*'Target revenue sheet'!$F$20</f>
        <v>1438.24</v>
      </c>
      <c r="N31" s="114">
        <v>31102</v>
      </c>
      <c r="O31" s="115">
        <f t="shared" si="3"/>
        <v>8.3037980090855338E-3</v>
      </c>
      <c r="P31" s="116">
        <f>N31*'Target revenue sheet'!$F$21</f>
        <v>2177.1400000000003</v>
      </c>
      <c r="Q31" s="117">
        <v>8262</v>
      </c>
      <c r="R31" s="118">
        <f t="shared" si="4"/>
        <v>2.0065476306126017E-3</v>
      </c>
      <c r="S31" s="119">
        <f>Q31*'Target revenue sheet'!$F$22</f>
        <v>495.71999999999997</v>
      </c>
      <c r="T31" s="120">
        <f>'Target revenue sheet'!$F$2</f>
        <v>1000</v>
      </c>
      <c r="U31" s="121">
        <f>(C31-1)*'Target revenue sheet'!$F$1</f>
        <v>0</v>
      </c>
      <c r="V31" s="122">
        <f t="shared" si="5"/>
        <v>5766.6200000000008</v>
      </c>
      <c r="W31" s="123">
        <f>IF(V31&lt;'Target revenue sheet'!$F$3,'Target revenue sheet'!$F$3,V31)</f>
        <v>5766.6200000000008</v>
      </c>
      <c r="X31" s="123"/>
      <c r="Y31" s="124">
        <v>1750</v>
      </c>
      <c r="Z31" s="125">
        <f t="shared" si="6"/>
        <v>2.3861304463427438E-3</v>
      </c>
      <c r="AA31" s="126">
        <f t="shared" si="7"/>
        <v>58</v>
      </c>
      <c r="AB31" s="127">
        <v>1900</v>
      </c>
      <c r="AC31" s="127"/>
      <c r="AD31" s="128">
        <f t="shared" si="8"/>
        <v>2866.6550000000002</v>
      </c>
      <c r="AE31" s="129">
        <f t="shared" si="9"/>
        <v>0</v>
      </c>
      <c r="AF31" s="130">
        <f t="shared" si="10"/>
        <v>2866.6550000000002</v>
      </c>
      <c r="AG31" s="131">
        <f t="shared" si="11"/>
        <v>3833.3100000000004</v>
      </c>
      <c r="AH31" s="132">
        <f t="shared" si="12"/>
        <v>0</v>
      </c>
      <c r="AI31" s="133">
        <f t="shared" si="13"/>
        <v>3833.3100000000004</v>
      </c>
      <c r="AJ31" s="134">
        <f t="shared" si="14"/>
        <v>4799.9650000000001</v>
      </c>
      <c r="AK31" s="135">
        <f t="shared" si="15"/>
        <v>0</v>
      </c>
      <c r="AL31" s="136">
        <f t="shared" si="16"/>
        <v>4799.9650000000001</v>
      </c>
      <c r="AM31" s="137">
        <f t="shared" si="17"/>
        <v>5766.6200000000008</v>
      </c>
      <c r="AN31" s="137">
        <f t="shared" si="18"/>
        <v>0</v>
      </c>
      <c r="AO31" s="138">
        <f t="shared" si="19"/>
        <v>5766.6200000000008</v>
      </c>
      <c r="AP31" s="139">
        <f t="shared" si="20"/>
        <v>3866.6200000000008</v>
      </c>
      <c r="AQ31" s="140">
        <f t="shared" si="21"/>
        <v>2.0350631578947374</v>
      </c>
      <c r="AR31" s="141">
        <f t="shared" si="22"/>
        <v>5.4036902749214641E-3</v>
      </c>
      <c r="AS31" s="142">
        <f t="shared" si="23"/>
        <v>44</v>
      </c>
      <c r="AT31" s="143">
        <f t="shared" si="24"/>
        <v>3866.6200000000008</v>
      </c>
      <c r="AU31" s="144">
        <f t="shared" si="25"/>
        <v>3866.6200000000008</v>
      </c>
      <c r="AV31" s="260">
        <v>2625</v>
      </c>
      <c r="AW31" s="146">
        <f t="shared" si="26"/>
        <v>5766.6200000000008</v>
      </c>
      <c r="AX31" s="146" t="str">
        <f t="shared" si="27"/>
        <v/>
      </c>
      <c r="AY31" s="146" t="str">
        <f t="shared" si="28"/>
        <v/>
      </c>
      <c r="AZ31" s="146" t="str">
        <f t="shared" si="29"/>
        <v/>
      </c>
      <c r="BA31" s="42">
        <v>31</v>
      </c>
    </row>
    <row r="32" spans="1:53" ht="18" customHeight="1" x14ac:dyDescent="0.25">
      <c r="A32" s="148" t="s">
        <v>82</v>
      </c>
      <c r="B32" s="149" t="s">
        <v>83</v>
      </c>
      <c r="C32" s="148">
        <v>1</v>
      </c>
      <c r="D32" s="150" t="s">
        <v>323</v>
      </c>
      <c r="E32" s="107">
        <v>292</v>
      </c>
      <c r="F32" s="107">
        <f t="shared" si="0"/>
        <v>75</v>
      </c>
      <c r="G32" s="108">
        <v>1563</v>
      </c>
      <c r="H32" s="108" t="s">
        <v>311</v>
      </c>
      <c r="I32" s="109">
        <f t="shared" si="1"/>
        <v>2.2206783085336277E-3</v>
      </c>
      <c r="J32" s="110">
        <f>G32*'Target revenue sheet'!$F$19</f>
        <v>531.42000000000007</v>
      </c>
      <c r="K32" s="111">
        <v>432</v>
      </c>
      <c r="L32" s="112">
        <f t="shared" si="2"/>
        <v>1.5961868868813391E-3</v>
      </c>
      <c r="M32" s="113">
        <f>K32*'Target revenue sheet'!$F$20</f>
        <v>384.48</v>
      </c>
      <c r="N32" s="114">
        <v>16561</v>
      </c>
      <c r="O32" s="115">
        <f t="shared" si="3"/>
        <v>4.4215548462627971E-3</v>
      </c>
      <c r="P32" s="116">
        <f>N32*'Target revenue sheet'!$F$21</f>
        <v>1159.2700000000002</v>
      </c>
      <c r="Q32" s="117">
        <v>5987</v>
      </c>
      <c r="R32" s="118">
        <f t="shared" si="4"/>
        <v>1.4540305815150868E-3</v>
      </c>
      <c r="S32" s="119">
        <f>Q32*'Target revenue sheet'!$F$22</f>
        <v>359.21999999999997</v>
      </c>
      <c r="T32" s="120">
        <f>'Target revenue sheet'!$F$2</f>
        <v>1000</v>
      </c>
      <c r="U32" s="121">
        <f>(C32-1)*'Target revenue sheet'!$F$1</f>
        <v>0</v>
      </c>
      <c r="V32" s="122">
        <f t="shared" si="5"/>
        <v>3434.39</v>
      </c>
      <c r="W32" s="123">
        <f>IF(V32&lt;'Target revenue sheet'!$F$3,'Target revenue sheet'!$F$3,V32)</f>
        <v>3434.39</v>
      </c>
      <c r="X32" s="123"/>
      <c r="Y32" s="124">
        <v>1925</v>
      </c>
      <c r="Z32" s="125">
        <f t="shared" si="6"/>
        <v>2.6247434909770183E-3</v>
      </c>
      <c r="AA32" s="126">
        <f t="shared" si="7"/>
        <v>48</v>
      </c>
      <c r="AB32" s="151">
        <v>1900</v>
      </c>
      <c r="AC32" s="127">
        <v>2090</v>
      </c>
      <c r="AD32" s="128">
        <f t="shared" si="8"/>
        <v>2283.5974999999999</v>
      </c>
      <c r="AE32" s="129">
        <f t="shared" si="9"/>
        <v>228.35974999999999</v>
      </c>
      <c r="AF32" s="130">
        <f t="shared" si="10"/>
        <v>2511.9572499999999</v>
      </c>
      <c r="AG32" s="131">
        <f t="shared" si="11"/>
        <v>2667.1949999999997</v>
      </c>
      <c r="AH32" s="132">
        <f t="shared" si="12"/>
        <v>266.71949999999998</v>
      </c>
      <c r="AI32" s="133">
        <f t="shared" si="13"/>
        <v>2933.9144999999999</v>
      </c>
      <c r="AJ32" s="134">
        <f t="shared" si="14"/>
        <v>3050.7925</v>
      </c>
      <c r="AK32" s="135">
        <f t="shared" si="15"/>
        <v>305.07925</v>
      </c>
      <c r="AL32" s="136">
        <f t="shared" si="16"/>
        <v>3355.8717500000002</v>
      </c>
      <c r="AM32" s="137">
        <f t="shared" si="17"/>
        <v>3434.39</v>
      </c>
      <c r="AN32" s="137">
        <f t="shared" si="18"/>
        <v>343.43900000000002</v>
      </c>
      <c r="AO32" s="138">
        <f t="shared" si="19"/>
        <v>3777.8289999999997</v>
      </c>
      <c r="AP32" s="139">
        <f t="shared" si="20"/>
        <v>1534.3899999999999</v>
      </c>
      <c r="AQ32" s="140">
        <f t="shared" si="21"/>
        <v>0.80757368421052622</v>
      </c>
      <c r="AR32" s="141">
        <f t="shared" si="22"/>
        <v>3.5400664215114357E-3</v>
      </c>
      <c r="AS32" s="142">
        <f t="shared" si="23"/>
        <v>78</v>
      </c>
      <c r="AT32" s="143" t="str">
        <f t="shared" si="24"/>
        <v/>
      </c>
      <c r="AU32" s="144" t="str">
        <f t="shared" si="25"/>
        <v/>
      </c>
      <c r="AV32" s="260">
        <v>875</v>
      </c>
      <c r="AW32" s="146">
        <f t="shared" si="26"/>
        <v>3434.39</v>
      </c>
      <c r="AX32" s="146" t="str">
        <f t="shared" si="27"/>
        <v/>
      </c>
      <c r="AY32" s="146" t="str">
        <f t="shared" si="28"/>
        <v/>
      </c>
      <c r="AZ32" s="146" t="str">
        <f t="shared" si="29"/>
        <v/>
      </c>
      <c r="BA32" s="42">
        <v>32</v>
      </c>
    </row>
    <row r="33" spans="1:53" ht="18" customHeight="1" x14ac:dyDescent="0.25">
      <c r="A33" s="104" t="s">
        <v>84</v>
      </c>
      <c r="B33" s="105" t="s">
        <v>85</v>
      </c>
      <c r="C33" s="104">
        <v>1</v>
      </c>
      <c r="D33" s="106" t="s">
        <v>325</v>
      </c>
      <c r="E33" s="107">
        <v>31</v>
      </c>
      <c r="F33" s="107">
        <f t="shared" si="0"/>
        <v>7</v>
      </c>
      <c r="G33" s="108">
        <v>20276</v>
      </c>
      <c r="H33" s="108" t="s">
        <v>314</v>
      </c>
      <c r="I33" s="109">
        <f t="shared" si="1"/>
        <v>2.8807724493811793E-2</v>
      </c>
      <c r="J33" s="110">
        <f>G33*'Target revenue sheet'!$F$19</f>
        <v>6893.84</v>
      </c>
      <c r="K33" s="111">
        <v>7604</v>
      </c>
      <c r="L33" s="112">
        <f t="shared" si="2"/>
        <v>2.8095845110753939E-2</v>
      </c>
      <c r="M33" s="113">
        <f>K33*'Target revenue sheet'!$F$20</f>
        <v>6767.56</v>
      </c>
      <c r="N33" s="114">
        <v>106441</v>
      </c>
      <c r="O33" s="115">
        <f t="shared" si="3"/>
        <v>2.8418254899526499E-2</v>
      </c>
      <c r="P33" s="116">
        <f>N33*'Target revenue sheet'!$F$21</f>
        <v>7450.8700000000008</v>
      </c>
      <c r="Q33" s="117">
        <v>131653</v>
      </c>
      <c r="R33" s="118">
        <f t="shared" si="4"/>
        <v>3.1973858050476985E-2</v>
      </c>
      <c r="S33" s="119">
        <f>Q33*'Target revenue sheet'!$F$22</f>
        <v>7899.1799999999994</v>
      </c>
      <c r="T33" s="120">
        <f>'Target revenue sheet'!$F$2</f>
        <v>1000</v>
      </c>
      <c r="U33" s="121">
        <f>(C33-1)*'Target revenue sheet'!$F$1</f>
        <v>0</v>
      </c>
      <c r="V33" s="122">
        <f t="shared" si="5"/>
        <v>30011.450000000004</v>
      </c>
      <c r="W33" s="123">
        <f>IF(V33&lt;'Target revenue sheet'!$F$3,'Target revenue sheet'!$F$3,V33)</f>
        <v>30011.450000000004</v>
      </c>
      <c r="X33" s="123"/>
      <c r="Y33" s="124">
        <v>25808</v>
      </c>
      <c r="Z33" s="125">
        <f t="shared" si="6"/>
        <v>3.5189288319550587E-2</v>
      </c>
      <c r="AA33" s="126">
        <f t="shared" si="7"/>
        <v>9</v>
      </c>
      <c r="AB33" s="127">
        <v>26582</v>
      </c>
      <c r="AC33" s="127"/>
      <c r="AD33" s="128">
        <f t="shared" si="8"/>
        <v>27439.362500000003</v>
      </c>
      <c r="AE33" s="129">
        <f t="shared" si="9"/>
        <v>0</v>
      </c>
      <c r="AF33" s="130">
        <f t="shared" si="10"/>
        <v>27439.362500000003</v>
      </c>
      <c r="AG33" s="131">
        <f t="shared" si="11"/>
        <v>28296.725000000002</v>
      </c>
      <c r="AH33" s="132">
        <f t="shared" si="12"/>
        <v>0</v>
      </c>
      <c r="AI33" s="133">
        <f t="shared" si="13"/>
        <v>28296.725000000002</v>
      </c>
      <c r="AJ33" s="134">
        <f t="shared" si="14"/>
        <v>29154.087500000001</v>
      </c>
      <c r="AK33" s="135">
        <f t="shared" si="15"/>
        <v>0</v>
      </c>
      <c r="AL33" s="136">
        <f t="shared" si="16"/>
        <v>29154.087500000001</v>
      </c>
      <c r="AM33" s="137">
        <f t="shared" si="17"/>
        <v>30011.450000000004</v>
      </c>
      <c r="AN33" s="137">
        <f t="shared" si="18"/>
        <v>0</v>
      </c>
      <c r="AO33" s="138">
        <f t="shared" si="19"/>
        <v>30011.450000000004</v>
      </c>
      <c r="AP33" s="139">
        <f t="shared" si="20"/>
        <v>3429.4500000000044</v>
      </c>
      <c r="AQ33" s="140">
        <f t="shared" si="21"/>
        <v>0.12901399443232278</v>
      </c>
      <c r="AR33" s="141">
        <f t="shared" si="22"/>
        <v>2.8122640385753139E-2</v>
      </c>
      <c r="AS33" s="142">
        <f t="shared" si="23"/>
        <v>9</v>
      </c>
      <c r="AT33" s="143" t="str">
        <f t="shared" si="24"/>
        <v/>
      </c>
      <c r="AU33" s="144" t="str">
        <f t="shared" si="25"/>
        <v/>
      </c>
      <c r="AV33" s="260">
        <v>1750</v>
      </c>
      <c r="AW33" s="146" t="str">
        <f t="shared" si="26"/>
        <v/>
      </c>
      <c r="AX33" s="146" t="str">
        <f t="shared" si="27"/>
        <v/>
      </c>
      <c r="AY33" s="146" t="str">
        <f t="shared" si="28"/>
        <v/>
      </c>
      <c r="AZ33" s="146">
        <f t="shared" si="29"/>
        <v>30011.450000000004</v>
      </c>
      <c r="BA33" s="42">
        <v>33</v>
      </c>
    </row>
    <row r="34" spans="1:53" ht="18" customHeight="1" x14ac:dyDescent="0.25">
      <c r="A34" s="104" t="s">
        <v>88</v>
      </c>
      <c r="B34" s="105" t="s">
        <v>89</v>
      </c>
      <c r="C34" s="104">
        <v>1</v>
      </c>
      <c r="D34" s="106" t="s">
        <v>325</v>
      </c>
      <c r="E34" s="107">
        <v>215</v>
      </c>
      <c r="F34" s="107">
        <f t="shared" ref="F34:F65" si="30">_xlfn.RANK.EQ(E34,$E$2:$E$97,1)</f>
        <v>55</v>
      </c>
      <c r="G34" s="108">
        <v>1910</v>
      </c>
      <c r="H34" s="108" t="s">
        <v>311</v>
      </c>
      <c r="I34" s="109">
        <f t="shared" ref="I34:I65" si="31">G34/$G$98</f>
        <v>2.7136887839406456E-3</v>
      </c>
      <c r="J34" s="110">
        <f>G34*'Target revenue sheet'!$F$19</f>
        <v>649.40000000000009</v>
      </c>
      <c r="K34" s="111">
        <v>875</v>
      </c>
      <c r="L34" s="112">
        <f t="shared" ref="L34:L65" si="32">K34/$K$98</f>
        <v>3.2330174213453049E-3</v>
      </c>
      <c r="M34" s="113">
        <f>K34*'Target revenue sheet'!$F$20</f>
        <v>778.75</v>
      </c>
      <c r="N34" s="114">
        <v>20852</v>
      </c>
      <c r="O34" s="115">
        <f t="shared" ref="O34:O65" si="33">N34/$N$98</f>
        <v>5.5671916946000754E-3</v>
      </c>
      <c r="P34" s="116">
        <f>N34*'Target revenue sheet'!$F$21</f>
        <v>1459.64</v>
      </c>
      <c r="Q34" s="117">
        <v>18553</v>
      </c>
      <c r="R34" s="118">
        <f t="shared" ref="R34:R65" si="34">Q34/$Q$98</f>
        <v>4.5058676096290974E-3</v>
      </c>
      <c r="S34" s="119">
        <f>Q34*'Target revenue sheet'!$F$22</f>
        <v>1113.18</v>
      </c>
      <c r="T34" s="120">
        <f>'Target revenue sheet'!$F$2</f>
        <v>1000</v>
      </c>
      <c r="U34" s="121">
        <f>(C34-1)*'Target revenue sheet'!$F$1</f>
        <v>0</v>
      </c>
      <c r="V34" s="122">
        <f t="shared" ref="V34:V65" si="35">J34+M34+P34+S34+T34+U34</f>
        <v>5000.97</v>
      </c>
      <c r="W34" s="123">
        <f>IF(V34&lt;'Target revenue sheet'!$F$3,'Target revenue sheet'!$F$3,V34)</f>
        <v>5000.97</v>
      </c>
      <c r="X34" s="123"/>
      <c r="Y34" s="124">
        <v>2930</v>
      </c>
      <c r="Z34" s="125">
        <f t="shared" ref="Z34:Z65" si="36">Y34/$Y$98</f>
        <v>3.9950641187338513E-3</v>
      </c>
      <c r="AA34" s="126">
        <f t="shared" ref="AA34:AA65" si="37">_xlfn.RANK.EQ(Y34,$Y$2:$Y$97)</f>
        <v>29</v>
      </c>
      <c r="AB34" s="127">
        <v>3080</v>
      </c>
      <c r="AC34" s="127"/>
      <c r="AD34" s="128">
        <f t="shared" ref="AD34:AD65" si="38">$AB34+($AP34*0.25)</f>
        <v>3560.2425000000003</v>
      </c>
      <c r="AE34" s="129">
        <f t="shared" ref="AE34:AE65" si="39">IF($D34="Yes",AD34*0.1,)</f>
        <v>0</v>
      </c>
      <c r="AF34" s="130">
        <f t="shared" ref="AF34:AF65" si="40">AD34+AE34</f>
        <v>3560.2425000000003</v>
      </c>
      <c r="AG34" s="131">
        <f t="shared" ref="AG34:AG65" si="41">$AB34+($AP34*0.5)</f>
        <v>4040.4850000000001</v>
      </c>
      <c r="AH34" s="132">
        <f t="shared" ref="AH34:AH65" si="42">IF($D34="Yes",AG34*0.1,)</f>
        <v>0</v>
      </c>
      <c r="AI34" s="133">
        <f t="shared" ref="AI34:AI65" si="43">AG34+AH34</f>
        <v>4040.4850000000001</v>
      </c>
      <c r="AJ34" s="134">
        <f t="shared" ref="AJ34:AJ65" si="44">$AB34+($AP34*0.75)</f>
        <v>4520.7275</v>
      </c>
      <c r="AK34" s="135">
        <f t="shared" ref="AK34:AK65" si="45">IF($D34="Yes",AJ34*0.1,)</f>
        <v>0</v>
      </c>
      <c r="AL34" s="136">
        <f t="shared" ref="AL34:AL65" si="46">AJ34+AK34</f>
        <v>4520.7275</v>
      </c>
      <c r="AM34" s="137">
        <f t="shared" ref="AM34:AM65" si="47">IF($X34&lt;1,$W34,($AB34*$X34))</f>
        <v>5000.97</v>
      </c>
      <c r="AN34" s="137">
        <f t="shared" ref="AN34:AN65" si="48">IF($D34="Yes",AM34*0.1,)</f>
        <v>0</v>
      </c>
      <c r="AO34" s="138">
        <f t="shared" ref="AO34:AO65" si="49">AM34+AN34</f>
        <v>5000.97</v>
      </c>
      <c r="AP34" s="139">
        <f t="shared" ref="AP34:AP65" si="50">AM34-AB34</f>
        <v>1920.9700000000003</v>
      </c>
      <c r="AQ34" s="140">
        <f t="shared" ref="AQ34:AQ65" si="51">$AP34/$AB34</f>
        <v>0.62369155844155855</v>
      </c>
      <c r="AR34" s="141">
        <f t="shared" ref="AR34:AR65" si="52">AO34/$AO$98</f>
        <v>4.6862274528534894E-3</v>
      </c>
      <c r="AS34" s="142">
        <f t="shared" ref="AS34:AS65" si="53">_xlfn.RANK.EQ(AM34,$AM$2:$AM$97)</f>
        <v>55</v>
      </c>
      <c r="AT34" s="143" t="str">
        <f t="shared" ref="AT34:AT65" si="54">IF(AQ34&gt;1,AP34,"")</f>
        <v/>
      </c>
      <c r="AU34" s="144" t="str">
        <f t="shared" ref="AU34:AU65" si="55">IF(AQ34&gt;1.99,AP34,"")</f>
        <v/>
      </c>
      <c r="AV34" s="260">
        <v>1750</v>
      </c>
      <c r="AW34" s="146">
        <f t="shared" ref="AW34:AW65" si="56">IF(H34="A",AM34,"")</f>
        <v>5000.97</v>
      </c>
      <c r="AX34" s="146" t="str">
        <f t="shared" ref="AX34:AX65" si="57">IF(H34="B",AM34,"")</f>
        <v/>
      </c>
      <c r="AY34" s="146" t="str">
        <f t="shared" ref="AY34:AY65" si="58">IF(H34="C",AM34,"")</f>
        <v/>
      </c>
      <c r="AZ34" s="146" t="str">
        <f t="shared" ref="AZ34:AZ65" si="59">IF(H34="D",AM34,"")</f>
        <v/>
      </c>
      <c r="BA34" s="42">
        <v>35</v>
      </c>
    </row>
    <row r="35" spans="1:53" ht="18" customHeight="1" x14ac:dyDescent="0.25">
      <c r="A35" s="147" t="s">
        <v>90</v>
      </c>
      <c r="B35" s="152" t="s">
        <v>91</v>
      </c>
      <c r="C35" s="147">
        <v>1</v>
      </c>
      <c r="D35" s="106" t="s">
        <v>325</v>
      </c>
      <c r="E35" s="107">
        <v>183</v>
      </c>
      <c r="F35" s="107">
        <f t="shared" si="30"/>
        <v>41</v>
      </c>
      <c r="G35" s="108">
        <v>4337</v>
      </c>
      <c r="H35" s="108" t="s">
        <v>312</v>
      </c>
      <c r="I35" s="109">
        <f t="shared" si="31"/>
        <v>6.1619205528537068E-3</v>
      </c>
      <c r="J35" s="110">
        <f>G35*'Target revenue sheet'!$F$19</f>
        <v>1474.5800000000002</v>
      </c>
      <c r="K35" s="111">
        <v>1835</v>
      </c>
      <c r="L35" s="112">
        <f t="shared" si="32"/>
        <v>6.7800993921927248E-3</v>
      </c>
      <c r="M35" s="113">
        <f>K35*'Target revenue sheet'!$F$20</f>
        <v>1633.15</v>
      </c>
      <c r="N35" s="114">
        <v>19383</v>
      </c>
      <c r="O35" s="115">
        <f t="shared" si="33"/>
        <v>5.1749892871874766E-3</v>
      </c>
      <c r="P35" s="116">
        <f>N35*'Target revenue sheet'!$F$21</f>
        <v>1356.8100000000002</v>
      </c>
      <c r="Q35" s="117">
        <v>8591</v>
      </c>
      <c r="R35" s="118">
        <f t="shared" si="34"/>
        <v>2.0864500961743962E-3</v>
      </c>
      <c r="S35" s="119">
        <f>Q35*'Target revenue sheet'!$F$22</f>
        <v>515.46</v>
      </c>
      <c r="T35" s="120">
        <f>'Target revenue sheet'!$F$2</f>
        <v>1000</v>
      </c>
      <c r="U35" s="121">
        <f>(C35-1)*'Target revenue sheet'!$F$1</f>
        <v>0</v>
      </c>
      <c r="V35" s="122">
        <f t="shared" si="35"/>
        <v>5980.0000000000009</v>
      </c>
      <c r="W35" s="123">
        <f>IF(V35&lt;'Target revenue sheet'!$F$3,'Target revenue sheet'!$F$3,V35)</f>
        <v>5980.0000000000009</v>
      </c>
      <c r="X35" s="123"/>
      <c r="Y35" s="124">
        <v>1750</v>
      </c>
      <c r="Z35" s="125">
        <f t="shared" si="36"/>
        <v>2.3861304463427438E-3</v>
      </c>
      <c r="AA35" s="126">
        <f t="shared" si="37"/>
        <v>58</v>
      </c>
      <c r="AB35" s="127">
        <v>1900</v>
      </c>
      <c r="AC35" s="127"/>
      <c r="AD35" s="128">
        <f t="shared" si="38"/>
        <v>2920</v>
      </c>
      <c r="AE35" s="129">
        <f t="shared" si="39"/>
        <v>0</v>
      </c>
      <c r="AF35" s="130">
        <f t="shared" si="40"/>
        <v>2920</v>
      </c>
      <c r="AG35" s="131">
        <f t="shared" si="41"/>
        <v>3940.0000000000005</v>
      </c>
      <c r="AH35" s="132">
        <f t="shared" si="42"/>
        <v>0</v>
      </c>
      <c r="AI35" s="133">
        <f t="shared" si="43"/>
        <v>3940.0000000000005</v>
      </c>
      <c r="AJ35" s="134">
        <f t="shared" si="44"/>
        <v>4960.0000000000009</v>
      </c>
      <c r="AK35" s="135">
        <f t="shared" si="45"/>
        <v>0</v>
      </c>
      <c r="AL35" s="136">
        <f t="shared" si="46"/>
        <v>4960.0000000000009</v>
      </c>
      <c r="AM35" s="137">
        <f t="shared" si="47"/>
        <v>5980.0000000000009</v>
      </c>
      <c r="AN35" s="137">
        <f t="shared" si="48"/>
        <v>0</v>
      </c>
      <c r="AO35" s="138">
        <f t="shared" si="49"/>
        <v>5980.0000000000009</v>
      </c>
      <c r="AP35" s="139">
        <f t="shared" si="50"/>
        <v>4080.0000000000009</v>
      </c>
      <c r="AQ35" s="140">
        <f t="shared" si="51"/>
        <v>2.147368421052632</v>
      </c>
      <c r="AR35" s="141">
        <f t="shared" si="52"/>
        <v>5.6036409272728835E-3</v>
      </c>
      <c r="AS35" s="142">
        <f t="shared" si="53"/>
        <v>41</v>
      </c>
      <c r="AT35" s="143">
        <f t="shared" si="54"/>
        <v>4080.0000000000009</v>
      </c>
      <c r="AU35" s="144">
        <f t="shared" si="55"/>
        <v>4080.0000000000009</v>
      </c>
      <c r="AV35" s="260">
        <v>875</v>
      </c>
      <c r="AW35" s="146" t="str">
        <f t="shared" si="56"/>
        <v/>
      </c>
      <c r="AX35" s="146" t="str">
        <f t="shared" si="57"/>
        <v/>
      </c>
      <c r="AY35" s="146">
        <f t="shared" si="58"/>
        <v>5980.0000000000009</v>
      </c>
      <c r="AZ35" s="146" t="str">
        <f t="shared" si="59"/>
        <v/>
      </c>
      <c r="BA35" s="42">
        <v>36</v>
      </c>
    </row>
    <row r="36" spans="1:53" ht="18" customHeight="1" x14ac:dyDescent="0.25">
      <c r="A36" s="147" t="s">
        <v>86</v>
      </c>
      <c r="B36" s="105" t="s">
        <v>87</v>
      </c>
      <c r="C36" s="147">
        <v>1</v>
      </c>
      <c r="D36" s="106" t="s">
        <v>325</v>
      </c>
      <c r="E36" s="107">
        <v>107</v>
      </c>
      <c r="F36" s="107">
        <f t="shared" si="30"/>
        <v>22</v>
      </c>
      <c r="G36" s="108">
        <v>5725</v>
      </c>
      <c r="H36" s="108" t="s">
        <v>312</v>
      </c>
      <c r="I36" s="109">
        <f t="shared" si="31"/>
        <v>8.1339624544817784E-3</v>
      </c>
      <c r="J36" s="110">
        <f>G36*'Target revenue sheet'!$F$19</f>
        <v>1946.5000000000002</v>
      </c>
      <c r="K36" s="111">
        <v>3096</v>
      </c>
      <c r="L36" s="112">
        <f t="shared" si="32"/>
        <v>1.143933935598293E-2</v>
      </c>
      <c r="M36" s="113">
        <f>K36*'Target revenue sheet'!$F$20</f>
        <v>2755.44</v>
      </c>
      <c r="N36" s="114">
        <v>39039</v>
      </c>
      <c r="O36" s="115">
        <f t="shared" si="33"/>
        <v>1.0422865747433931E-2</v>
      </c>
      <c r="P36" s="116">
        <f>N36*'Target revenue sheet'!$F$21</f>
        <v>2732.7300000000005</v>
      </c>
      <c r="Q36" s="117">
        <v>16094</v>
      </c>
      <c r="R36" s="118">
        <f t="shared" si="34"/>
        <v>3.908663467329849E-3</v>
      </c>
      <c r="S36" s="119">
        <f>Q36*'Target revenue sheet'!$F$22</f>
        <v>965.64</v>
      </c>
      <c r="T36" s="120">
        <f>'Target revenue sheet'!$F$2</f>
        <v>1000</v>
      </c>
      <c r="U36" s="121">
        <f>(C36-1)*'Target revenue sheet'!$F$1</f>
        <v>0</v>
      </c>
      <c r="V36" s="122">
        <f t="shared" si="35"/>
        <v>9400.3100000000013</v>
      </c>
      <c r="W36" s="123">
        <f>IF(V36&lt;'Target revenue sheet'!$F$3,'Target revenue sheet'!$F$3,V36)</f>
        <v>9400.3100000000013</v>
      </c>
      <c r="X36" s="123"/>
      <c r="Y36" s="124">
        <v>2930</v>
      </c>
      <c r="Z36" s="125">
        <f t="shared" si="36"/>
        <v>3.9950641187338513E-3</v>
      </c>
      <c r="AA36" s="126">
        <f t="shared" si="37"/>
        <v>29</v>
      </c>
      <c r="AB36" s="127">
        <v>3080</v>
      </c>
      <c r="AC36" s="127"/>
      <c r="AD36" s="128">
        <f t="shared" si="38"/>
        <v>4660.0775000000003</v>
      </c>
      <c r="AE36" s="129">
        <f t="shared" si="39"/>
        <v>0</v>
      </c>
      <c r="AF36" s="130">
        <f t="shared" si="40"/>
        <v>4660.0775000000003</v>
      </c>
      <c r="AG36" s="131">
        <f t="shared" si="41"/>
        <v>6240.1550000000007</v>
      </c>
      <c r="AH36" s="132">
        <f t="shared" si="42"/>
        <v>0</v>
      </c>
      <c r="AI36" s="133">
        <f t="shared" si="43"/>
        <v>6240.1550000000007</v>
      </c>
      <c r="AJ36" s="134">
        <f t="shared" si="44"/>
        <v>7820.232500000001</v>
      </c>
      <c r="AK36" s="135">
        <f t="shared" si="45"/>
        <v>0</v>
      </c>
      <c r="AL36" s="136">
        <f t="shared" si="46"/>
        <v>7820.232500000001</v>
      </c>
      <c r="AM36" s="137">
        <f t="shared" si="47"/>
        <v>9400.3100000000013</v>
      </c>
      <c r="AN36" s="137">
        <f t="shared" si="48"/>
        <v>0</v>
      </c>
      <c r="AO36" s="138">
        <f t="shared" si="49"/>
        <v>9400.3100000000013</v>
      </c>
      <c r="AP36" s="139">
        <f t="shared" si="50"/>
        <v>6320.3100000000013</v>
      </c>
      <c r="AQ36" s="140">
        <f t="shared" si="51"/>
        <v>2.0520487012987019</v>
      </c>
      <c r="AR36" s="141">
        <f t="shared" si="52"/>
        <v>8.8086892717479191E-3</v>
      </c>
      <c r="AS36" s="142">
        <f t="shared" si="53"/>
        <v>25</v>
      </c>
      <c r="AT36" s="143">
        <f t="shared" si="54"/>
        <v>6320.3100000000013</v>
      </c>
      <c r="AU36" s="144">
        <f t="shared" si="55"/>
        <v>6320.3100000000013</v>
      </c>
      <c r="AV36" s="260">
        <v>1750</v>
      </c>
      <c r="AW36" s="146" t="str">
        <f t="shared" si="56"/>
        <v/>
      </c>
      <c r="AX36" s="146" t="str">
        <f t="shared" si="57"/>
        <v/>
      </c>
      <c r="AY36" s="146">
        <f t="shared" si="58"/>
        <v>9400.3100000000013</v>
      </c>
      <c r="AZ36" s="146" t="str">
        <f t="shared" si="59"/>
        <v/>
      </c>
      <c r="BA36" s="42">
        <v>34</v>
      </c>
    </row>
    <row r="37" spans="1:53" ht="18" customHeight="1" x14ac:dyDescent="0.25">
      <c r="A37" s="147" t="s">
        <v>96</v>
      </c>
      <c r="B37" s="105" t="s">
        <v>97</v>
      </c>
      <c r="C37" s="147">
        <v>1</v>
      </c>
      <c r="D37" s="106" t="s">
        <v>325</v>
      </c>
      <c r="E37" s="107">
        <v>127</v>
      </c>
      <c r="F37" s="107">
        <f t="shared" si="30"/>
        <v>31</v>
      </c>
      <c r="G37" s="108">
        <v>4101</v>
      </c>
      <c r="H37" s="108" t="s">
        <v>312</v>
      </c>
      <c r="I37" s="109">
        <f t="shared" si="31"/>
        <v>5.8266165983982135E-3</v>
      </c>
      <c r="J37" s="110">
        <f>G37*'Target revenue sheet'!$F$19</f>
        <v>1394.3400000000001</v>
      </c>
      <c r="K37" s="111">
        <v>2077</v>
      </c>
      <c r="L37" s="112">
        <f t="shared" si="32"/>
        <v>7.6742596390105122E-3</v>
      </c>
      <c r="M37" s="113">
        <f>K37*'Target revenue sheet'!$F$20</f>
        <v>1848.53</v>
      </c>
      <c r="N37" s="114">
        <v>65196</v>
      </c>
      <c r="O37" s="115">
        <f t="shared" si="33"/>
        <v>1.740641807601892E-2</v>
      </c>
      <c r="P37" s="116">
        <f>N37*'Target revenue sheet'!$F$21</f>
        <v>4563.72</v>
      </c>
      <c r="Q37" s="117">
        <v>11034</v>
      </c>
      <c r="R37" s="118">
        <f t="shared" si="34"/>
        <v>2.6797684042821892E-3</v>
      </c>
      <c r="S37" s="119">
        <f>Q37*'Target revenue sheet'!$F$22</f>
        <v>662.04</v>
      </c>
      <c r="T37" s="120">
        <f>'Target revenue sheet'!$F$2</f>
        <v>1000</v>
      </c>
      <c r="U37" s="121">
        <f>(C37-1)*'Target revenue sheet'!$F$1</f>
        <v>0</v>
      </c>
      <c r="V37" s="122">
        <f t="shared" si="35"/>
        <v>9468.630000000001</v>
      </c>
      <c r="W37" s="123">
        <f>IF(V37&lt;'Target revenue sheet'!$F$3,'Target revenue sheet'!$F$3,V37)</f>
        <v>9468.630000000001</v>
      </c>
      <c r="X37" s="123"/>
      <c r="Y37" s="124">
        <v>8234</v>
      </c>
      <c r="Z37" s="125">
        <f t="shared" si="36"/>
        <v>1.1227084625820659E-2</v>
      </c>
      <c r="AA37" s="126">
        <f t="shared" si="37"/>
        <v>18</v>
      </c>
      <c r="AB37" s="127">
        <v>8481</v>
      </c>
      <c r="AC37" s="127"/>
      <c r="AD37" s="128">
        <f t="shared" si="38"/>
        <v>8727.9075000000012</v>
      </c>
      <c r="AE37" s="129">
        <f t="shared" si="39"/>
        <v>0</v>
      </c>
      <c r="AF37" s="130">
        <f t="shared" si="40"/>
        <v>8727.9075000000012</v>
      </c>
      <c r="AG37" s="131">
        <f t="shared" si="41"/>
        <v>8974.8150000000005</v>
      </c>
      <c r="AH37" s="132">
        <f t="shared" si="42"/>
        <v>0</v>
      </c>
      <c r="AI37" s="133">
        <f t="shared" si="43"/>
        <v>8974.8150000000005</v>
      </c>
      <c r="AJ37" s="134">
        <f t="shared" si="44"/>
        <v>9221.7224999999999</v>
      </c>
      <c r="AK37" s="135">
        <f t="shared" si="45"/>
        <v>0</v>
      </c>
      <c r="AL37" s="136">
        <f t="shared" si="46"/>
        <v>9221.7224999999999</v>
      </c>
      <c r="AM37" s="137">
        <f t="shared" si="47"/>
        <v>9468.630000000001</v>
      </c>
      <c r="AN37" s="137">
        <f t="shared" si="48"/>
        <v>0</v>
      </c>
      <c r="AO37" s="138">
        <f t="shared" si="49"/>
        <v>9468.630000000001</v>
      </c>
      <c r="AP37" s="139">
        <f t="shared" si="50"/>
        <v>987.63000000000102</v>
      </c>
      <c r="AQ37" s="140">
        <f t="shared" si="51"/>
        <v>0.11645206933144689</v>
      </c>
      <c r="AR37" s="141">
        <f t="shared" si="52"/>
        <v>8.8727094637464608E-3</v>
      </c>
      <c r="AS37" s="142">
        <f t="shared" si="53"/>
        <v>24</v>
      </c>
      <c r="AT37" s="143" t="str">
        <f t="shared" si="54"/>
        <v/>
      </c>
      <c r="AU37" s="144" t="str">
        <f t="shared" si="55"/>
        <v/>
      </c>
      <c r="AV37" s="261">
        <v>3500</v>
      </c>
      <c r="AW37" s="146" t="str">
        <f t="shared" si="56"/>
        <v/>
      </c>
      <c r="AX37" s="146" t="str">
        <f t="shared" si="57"/>
        <v/>
      </c>
      <c r="AY37" s="146">
        <f t="shared" si="58"/>
        <v>9468.630000000001</v>
      </c>
      <c r="AZ37" s="146" t="str">
        <f t="shared" si="59"/>
        <v/>
      </c>
      <c r="BA37" s="42">
        <v>39</v>
      </c>
    </row>
    <row r="38" spans="1:53" ht="18" customHeight="1" x14ac:dyDescent="0.25">
      <c r="A38" s="147" t="s">
        <v>94</v>
      </c>
      <c r="B38" s="105" t="s">
        <v>95</v>
      </c>
      <c r="C38" s="147">
        <v>1</v>
      </c>
      <c r="D38" s="106" t="s">
        <v>325</v>
      </c>
      <c r="E38" s="107">
        <v>170</v>
      </c>
      <c r="F38" s="107">
        <f t="shared" si="30"/>
        <v>40</v>
      </c>
      <c r="G38" s="108">
        <v>3334</v>
      </c>
      <c r="H38" s="108" t="s">
        <v>313</v>
      </c>
      <c r="I38" s="109">
        <f t="shared" si="31"/>
        <v>4.7368787464178597E-3</v>
      </c>
      <c r="J38" s="110">
        <f>G38*'Target revenue sheet'!$F$19</f>
        <v>1133.5600000000002</v>
      </c>
      <c r="K38" s="111">
        <v>1102</v>
      </c>
      <c r="L38" s="112">
        <f t="shared" si="32"/>
        <v>4.071754512368601E-3</v>
      </c>
      <c r="M38" s="113">
        <f>K38*'Target revenue sheet'!$F$20</f>
        <v>980.78</v>
      </c>
      <c r="N38" s="114">
        <v>25278</v>
      </c>
      <c r="O38" s="115">
        <f t="shared" si="33"/>
        <v>6.7488716504939912E-3</v>
      </c>
      <c r="P38" s="116">
        <f>N38*'Target revenue sheet'!$F$21</f>
        <v>1769.4600000000003</v>
      </c>
      <c r="Q38" s="117">
        <v>21229</v>
      </c>
      <c r="R38" s="118">
        <f t="shared" si="34"/>
        <v>5.1557733781499547E-3</v>
      </c>
      <c r="S38" s="119">
        <f>Q38*'Target revenue sheet'!$F$22</f>
        <v>1273.74</v>
      </c>
      <c r="T38" s="120">
        <f>'Target revenue sheet'!$F$2</f>
        <v>1000</v>
      </c>
      <c r="U38" s="121">
        <f>(C38-1)*'Target revenue sheet'!$F$1</f>
        <v>0</v>
      </c>
      <c r="V38" s="122">
        <f t="shared" si="35"/>
        <v>6157.54</v>
      </c>
      <c r="W38" s="123">
        <f>IF(V38&lt;'Target revenue sheet'!$F$3,'Target revenue sheet'!$F$3,V38)</f>
        <v>6157.54</v>
      </c>
      <c r="X38" s="123"/>
      <c r="Y38" s="124">
        <v>5286</v>
      </c>
      <c r="Z38" s="125">
        <f t="shared" si="36"/>
        <v>7.2074774510672819E-3</v>
      </c>
      <c r="AA38" s="126">
        <f t="shared" si="37"/>
        <v>21</v>
      </c>
      <c r="AB38" s="127">
        <v>5445</v>
      </c>
      <c r="AC38" s="127"/>
      <c r="AD38" s="128">
        <f t="shared" si="38"/>
        <v>5623.1350000000002</v>
      </c>
      <c r="AE38" s="129">
        <f t="shared" si="39"/>
        <v>0</v>
      </c>
      <c r="AF38" s="130">
        <f t="shared" si="40"/>
        <v>5623.1350000000002</v>
      </c>
      <c r="AG38" s="131">
        <f t="shared" si="41"/>
        <v>5801.27</v>
      </c>
      <c r="AH38" s="132">
        <f t="shared" si="42"/>
        <v>0</v>
      </c>
      <c r="AI38" s="133">
        <f t="shared" si="43"/>
        <v>5801.27</v>
      </c>
      <c r="AJ38" s="134">
        <f t="shared" si="44"/>
        <v>5979.4049999999997</v>
      </c>
      <c r="AK38" s="135">
        <f t="shared" si="45"/>
        <v>0</v>
      </c>
      <c r="AL38" s="136">
        <f t="shared" si="46"/>
        <v>5979.4049999999997</v>
      </c>
      <c r="AM38" s="137">
        <f t="shared" si="47"/>
        <v>6157.54</v>
      </c>
      <c r="AN38" s="137">
        <f t="shared" si="48"/>
        <v>0</v>
      </c>
      <c r="AO38" s="138">
        <f t="shared" si="49"/>
        <v>6157.54</v>
      </c>
      <c r="AP38" s="139">
        <f t="shared" si="50"/>
        <v>712.54</v>
      </c>
      <c r="AQ38" s="140">
        <f t="shared" si="51"/>
        <v>0.13086134067952249</v>
      </c>
      <c r="AR38" s="141">
        <f t="shared" si="52"/>
        <v>5.7700072166086726E-3</v>
      </c>
      <c r="AS38" s="142">
        <f t="shared" si="53"/>
        <v>40</v>
      </c>
      <c r="AT38" s="143" t="str">
        <f t="shared" si="54"/>
        <v/>
      </c>
      <c r="AU38" s="144" t="str">
        <f t="shared" si="55"/>
        <v/>
      </c>
      <c r="AV38" s="260">
        <v>875</v>
      </c>
      <c r="AW38" s="146" t="str">
        <f t="shared" si="56"/>
        <v/>
      </c>
      <c r="AX38" s="146">
        <f t="shared" si="57"/>
        <v>6157.54</v>
      </c>
      <c r="AY38" s="146" t="str">
        <f t="shared" si="58"/>
        <v/>
      </c>
      <c r="AZ38" s="146" t="str">
        <f t="shared" si="59"/>
        <v/>
      </c>
      <c r="BA38" s="42">
        <v>38</v>
      </c>
    </row>
    <row r="39" spans="1:53" ht="18" customHeight="1" x14ac:dyDescent="0.25">
      <c r="A39" s="147" t="s">
        <v>100</v>
      </c>
      <c r="B39" s="105" t="s">
        <v>101</v>
      </c>
      <c r="C39" s="147">
        <v>1</v>
      </c>
      <c r="D39" s="106" t="s">
        <v>325</v>
      </c>
      <c r="E39" s="107">
        <v>193</v>
      </c>
      <c r="F39" s="107">
        <f t="shared" si="30"/>
        <v>45</v>
      </c>
      <c r="G39" s="108">
        <v>2105</v>
      </c>
      <c r="H39" s="108" t="s">
        <v>313</v>
      </c>
      <c r="I39" s="109">
        <f t="shared" si="31"/>
        <v>2.990740780206837E-3</v>
      </c>
      <c r="J39" s="110">
        <f>G39*'Target revenue sheet'!$F$19</f>
        <v>715.7</v>
      </c>
      <c r="K39" s="111">
        <v>1035</v>
      </c>
      <c r="L39" s="112">
        <f t="shared" si="32"/>
        <v>3.8241977498198747E-3</v>
      </c>
      <c r="M39" s="113">
        <f>K39*'Target revenue sheet'!$F$20</f>
        <v>921.15</v>
      </c>
      <c r="N39" s="114">
        <v>21994</v>
      </c>
      <c r="O39" s="115">
        <f t="shared" si="33"/>
        <v>5.8720896859310399E-3</v>
      </c>
      <c r="P39" s="116">
        <f>N39*'Target revenue sheet'!$F$21</f>
        <v>1539.5800000000002</v>
      </c>
      <c r="Q39" s="117">
        <v>25361</v>
      </c>
      <c r="R39" s="118">
        <f t="shared" si="34"/>
        <v>6.1592900580932208E-3</v>
      </c>
      <c r="S39" s="119">
        <f>Q39*'Target revenue sheet'!$F$22</f>
        <v>1521.6599999999999</v>
      </c>
      <c r="T39" s="120">
        <f>'Target revenue sheet'!$F$2</f>
        <v>1000</v>
      </c>
      <c r="U39" s="121">
        <f>(C39-1)*'Target revenue sheet'!$F$1</f>
        <v>0</v>
      </c>
      <c r="V39" s="122">
        <f t="shared" si="35"/>
        <v>5698.09</v>
      </c>
      <c r="W39" s="123">
        <f>IF(V39&lt;'Target revenue sheet'!$F$3,'Target revenue sheet'!$F$3,V39)</f>
        <v>5698.09</v>
      </c>
      <c r="X39" s="123"/>
      <c r="Y39" s="124">
        <v>2930</v>
      </c>
      <c r="Z39" s="125">
        <f t="shared" si="36"/>
        <v>3.9950641187338513E-3</v>
      </c>
      <c r="AA39" s="126">
        <f t="shared" si="37"/>
        <v>29</v>
      </c>
      <c r="AB39" s="127">
        <v>3080</v>
      </c>
      <c r="AC39" s="127"/>
      <c r="AD39" s="128">
        <f t="shared" si="38"/>
        <v>3734.5225</v>
      </c>
      <c r="AE39" s="129">
        <f t="shared" si="39"/>
        <v>0</v>
      </c>
      <c r="AF39" s="130">
        <f t="shared" si="40"/>
        <v>3734.5225</v>
      </c>
      <c r="AG39" s="131">
        <f t="shared" si="41"/>
        <v>4389.0450000000001</v>
      </c>
      <c r="AH39" s="132">
        <f t="shared" si="42"/>
        <v>0</v>
      </c>
      <c r="AI39" s="133">
        <f t="shared" si="43"/>
        <v>4389.0450000000001</v>
      </c>
      <c r="AJ39" s="134">
        <f t="shared" si="44"/>
        <v>5043.5675000000001</v>
      </c>
      <c r="AK39" s="135">
        <f t="shared" si="45"/>
        <v>0</v>
      </c>
      <c r="AL39" s="136">
        <f t="shared" si="46"/>
        <v>5043.5675000000001</v>
      </c>
      <c r="AM39" s="137">
        <f t="shared" si="47"/>
        <v>5698.09</v>
      </c>
      <c r="AN39" s="137">
        <f t="shared" si="48"/>
        <v>0</v>
      </c>
      <c r="AO39" s="138">
        <f t="shared" si="49"/>
        <v>5698.09</v>
      </c>
      <c r="AP39" s="139">
        <f t="shared" si="50"/>
        <v>2618.09</v>
      </c>
      <c r="AQ39" s="140">
        <f t="shared" si="51"/>
        <v>0.85002922077922083</v>
      </c>
      <c r="AR39" s="141">
        <f t="shared" si="52"/>
        <v>5.3394732995458759E-3</v>
      </c>
      <c r="AS39" s="142">
        <f t="shared" si="53"/>
        <v>46</v>
      </c>
      <c r="AT39" s="143" t="str">
        <f t="shared" si="54"/>
        <v/>
      </c>
      <c r="AU39" s="144" t="str">
        <f t="shared" si="55"/>
        <v/>
      </c>
      <c r="AV39" s="260">
        <v>2625</v>
      </c>
      <c r="AW39" s="146" t="str">
        <f t="shared" si="56"/>
        <v/>
      </c>
      <c r="AX39" s="146">
        <f t="shared" si="57"/>
        <v>5698.09</v>
      </c>
      <c r="AY39" s="146" t="str">
        <f t="shared" si="58"/>
        <v/>
      </c>
      <c r="AZ39" s="146" t="str">
        <f t="shared" si="59"/>
        <v/>
      </c>
      <c r="BA39" s="42">
        <v>41</v>
      </c>
    </row>
    <row r="40" spans="1:53" ht="15" x14ac:dyDescent="0.25">
      <c r="A40" s="147" t="s">
        <v>162</v>
      </c>
      <c r="B40" s="152" t="s">
        <v>163</v>
      </c>
      <c r="C40" s="147">
        <v>1</v>
      </c>
      <c r="D40" s="106" t="s">
        <v>325</v>
      </c>
      <c r="E40" s="107">
        <v>281</v>
      </c>
      <c r="F40" s="107">
        <f t="shared" si="30"/>
        <v>73</v>
      </c>
      <c r="G40" s="108">
        <v>2199</v>
      </c>
      <c r="H40" s="108" t="s">
        <v>313</v>
      </c>
      <c r="I40" s="109">
        <f t="shared" si="31"/>
        <v>3.1242940502018215E-3</v>
      </c>
      <c r="J40" s="110">
        <f>G40*'Target revenue sheet'!$F$19</f>
        <v>747.66000000000008</v>
      </c>
      <c r="K40" s="111">
        <v>824</v>
      </c>
      <c r="L40" s="112">
        <f t="shared" si="32"/>
        <v>3.0445786916440355E-3</v>
      </c>
      <c r="M40" s="113">
        <f>K40*'Target revenue sheet'!$F$20</f>
        <v>733.36</v>
      </c>
      <c r="N40" s="114">
        <v>13114</v>
      </c>
      <c r="O40" s="115">
        <f t="shared" si="33"/>
        <v>3.5012541666499799E-3</v>
      </c>
      <c r="P40" s="116">
        <f>N40*'Target revenue sheet'!$F$21</f>
        <v>917.98000000000013</v>
      </c>
      <c r="Q40" s="117">
        <v>3146</v>
      </c>
      <c r="R40" s="118">
        <f t="shared" si="34"/>
        <v>7.6405214789484934E-4</v>
      </c>
      <c r="S40" s="119">
        <f>Q40*'Target revenue sheet'!$F$22</f>
        <v>188.76</v>
      </c>
      <c r="T40" s="120">
        <f>'Target revenue sheet'!$F$2</f>
        <v>1000</v>
      </c>
      <c r="U40" s="121">
        <f>(C40-1)*'Target revenue sheet'!$F$1</f>
        <v>0</v>
      </c>
      <c r="V40" s="122">
        <f t="shared" si="35"/>
        <v>3587.76</v>
      </c>
      <c r="W40" s="123">
        <f>IF(V40&lt;'Target revenue sheet'!$F$3,'Target revenue sheet'!$F$3,V40)</f>
        <v>3587.76</v>
      </c>
      <c r="X40" s="123"/>
      <c r="Y40" s="124">
        <v>1750</v>
      </c>
      <c r="Z40" s="125">
        <f t="shared" si="36"/>
        <v>2.3861304463427438E-3</v>
      </c>
      <c r="AA40" s="126">
        <f t="shared" si="37"/>
        <v>58</v>
      </c>
      <c r="AB40" s="127">
        <v>1900</v>
      </c>
      <c r="AC40" s="127"/>
      <c r="AD40" s="128">
        <f t="shared" si="38"/>
        <v>2321.94</v>
      </c>
      <c r="AE40" s="129">
        <f t="shared" si="39"/>
        <v>0</v>
      </c>
      <c r="AF40" s="130">
        <f t="shared" si="40"/>
        <v>2321.94</v>
      </c>
      <c r="AG40" s="131">
        <f t="shared" si="41"/>
        <v>2743.88</v>
      </c>
      <c r="AH40" s="132">
        <f t="shared" si="42"/>
        <v>0</v>
      </c>
      <c r="AI40" s="133">
        <f t="shared" si="43"/>
        <v>2743.88</v>
      </c>
      <c r="AJ40" s="134">
        <f t="shared" si="44"/>
        <v>3165.82</v>
      </c>
      <c r="AK40" s="135">
        <f t="shared" si="45"/>
        <v>0</v>
      </c>
      <c r="AL40" s="136">
        <f t="shared" si="46"/>
        <v>3165.82</v>
      </c>
      <c r="AM40" s="137">
        <f t="shared" si="47"/>
        <v>3587.76</v>
      </c>
      <c r="AN40" s="137">
        <f t="shared" si="48"/>
        <v>0</v>
      </c>
      <c r="AO40" s="138">
        <f t="shared" si="49"/>
        <v>3587.76</v>
      </c>
      <c r="AP40" s="139">
        <f t="shared" si="50"/>
        <v>1687.7600000000002</v>
      </c>
      <c r="AQ40" s="140">
        <f t="shared" si="51"/>
        <v>0.88829473684210536</v>
      </c>
      <c r="AR40" s="141">
        <f t="shared" si="52"/>
        <v>3.3619596610756784E-3</v>
      </c>
      <c r="AS40" s="142">
        <f t="shared" si="53"/>
        <v>75</v>
      </c>
      <c r="AT40" s="143" t="str">
        <f t="shared" si="54"/>
        <v/>
      </c>
      <c r="AU40" s="144" t="str">
        <f t="shared" si="55"/>
        <v/>
      </c>
      <c r="AV40" s="260">
        <v>1750</v>
      </c>
      <c r="AW40" s="146" t="str">
        <f t="shared" si="56"/>
        <v/>
      </c>
      <c r="AX40" s="146">
        <f t="shared" si="57"/>
        <v>3587.76</v>
      </c>
      <c r="AY40" s="146" t="str">
        <f t="shared" si="58"/>
        <v/>
      </c>
      <c r="AZ40" s="146" t="str">
        <f t="shared" si="59"/>
        <v/>
      </c>
      <c r="BA40" s="42">
        <v>71</v>
      </c>
    </row>
    <row r="41" spans="1:53" ht="18" customHeight="1" x14ac:dyDescent="0.25">
      <c r="A41" s="104" t="s">
        <v>98</v>
      </c>
      <c r="B41" s="152" t="s">
        <v>99</v>
      </c>
      <c r="C41" s="104">
        <v>1</v>
      </c>
      <c r="D41" s="106" t="s">
        <v>325</v>
      </c>
      <c r="E41" s="107">
        <v>346</v>
      </c>
      <c r="F41" s="107">
        <f t="shared" si="30"/>
        <v>90</v>
      </c>
      <c r="G41" s="108">
        <v>696</v>
      </c>
      <c r="H41" s="108" t="s">
        <v>311</v>
      </c>
      <c r="I41" s="109">
        <f t="shared" si="31"/>
        <v>9.8886250975009919E-4</v>
      </c>
      <c r="J41" s="110">
        <f>G41*'Target revenue sheet'!$F$19</f>
        <v>236.64000000000001</v>
      </c>
      <c r="K41" s="111">
        <v>423</v>
      </c>
      <c r="L41" s="112">
        <f t="shared" si="32"/>
        <v>1.5629329934046445E-3</v>
      </c>
      <c r="M41" s="113">
        <f>K41*'Target revenue sheet'!$F$20</f>
        <v>376.47</v>
      </c>
      <c r="N41" s="114">
        <v>12750</v>
      </c>
      <c r="O41" s="115">
        <f t="shared" si="33"/>
        <v>3.4040712692380085E-3</v>
      </c>
      <c r="P41" s="116">
        <f>N41*'Target revenue sheet'!$F$21</f>
        <v>892.50000000000011</v>
      </c>
      <c r="Q41" s="117">
        <v>2465</v>
      </c>
      <c r="R41" s="118">
        <f t="shared" si="34"/>
        <v>5.9866133012104379E-4</v>
      </c>
      <c r="S41" s="119">
        <f>Q41*'Target revenue sheet'!$F$22</f>
        <v>147.9</v>
      </c>
      <c r="T41" s="120">
        <f>'Target revenue sheet'!$F$2</f>
        <v>1000</v>
      </c>
      <c r="U41" s="121">
        <f>(C41-1)*'Target revenue sheet'!$F$1</f>
        <v>0</v>
      </c>
      <c r="V41" s="122">
        <f t="shared" si="35"/>
        <v>2653.51</v>
      </c>
      <c r="W41" s="123">
        <f>IF(V41&lt;'Target revenue sheet'!$F$3,'Target revenue sheet'!$F$3,V41)</f>
        <v>3200</v>
      </c>
      <c r="X41" s="123"/>
      <c r="Y41" s="124">
        <v>1750</v>
      </c>
      <c r="Z41" s="125">
        <f t="shared" si="36"/>
        <v>2.3861304463427438E-3</v>
      </c>
      <c r="AA41" s="126">
        <f t="shared" si="37"/>
        <v>58</v>
      </c>
      <c r="AB41" s="127">
        <v>1900</v>
      </c>
      <c r="AC41" s="127"/>
      <c r="AD41" s="128">
        <f t="shared" si="38"/>
        <v>2225</v>
      </c>
      <c r="AE41" s="129">
        <f t="shared" si="39"/>
        <v>0</v>
      </c>
      <c r="AF41" s="130">
        <f t="shared" si="40"/>
        <v>2225</v>
      </c>
      <c r="AG41" s="131">
        <f t="shared" si="41"/>
        <v>2550</v>
      </c>
      <c r="AH41" s="132">
        <f t="shared" si="42"/>
        <v>0</v>
      </c>
      <c r="AI41" s="133">
        <f t="shared" si="43"/>
        <v>2550</v>
      </c>
      <c r="AJ41" s="134">
        <f t="shared" si="44"/>
        <v>2875</v>
      </c>
      <c r="AK41" s="135">
        <f t="shared" si="45"/>
        <v>0</v>
      </c>
      <c r="AL41" s="136">
        <f t="shared" si="46"/>
        <v>2875</v>
      </c>
      <c r="AM41" s="137">
        <f t="shared" si="47"/>
        <v>3200</v>
      </c>
      <c r="AN41" s="137">
        <f t="shared" si="48"/>
        <v>0</v>
      </c>
      <c r="AO41" s="138">
        <f t="shared" si="49"/>
        <v>3200</v>
      </c>
      <c r="AP41" s="139">
        <f t="shared" si="50"/>
        <v>1300</v>
      </c>
      <c r="AQ41" s="140">
        <f t="shared" si="51"/>
        <v>0.68421052631578949</v>
      </c>
      <c r="AR41" s="141">
        <f t="shared" si="52"/>
        <v>2.9986038406811409E-3</v>
      </c>
      <c r="AS41" s="142">
        <f t="shared" si="53"/>
        <v>81</v>
      </c>
      <c r="AT41" s="143" t="str">
        <f t="shared" si="54"/>
        <v/>
      </c>
      <c r="AU41" s="144" t="str">
        <f t="shared" si="55"/>
        <v/>
      </c>
      <c r="AV41" s="261">
        <v>3500</v>
      </c>
      <c r="AW41" s="146">
        <f t="shared" si="56"/>
        <v>3200</v>
      </c>
      <c r="AX41" s="146" t="str">
        <f t="shared" si="57"/>
        <v/>
      </c>
      <c r="AY41" s="146" t="str">
        <f t="shared" si="58"/>
        <v/>
      </c>
      <c r="AZ41" s="146" t="str">
        <f t="shared" si="59"/>
        <v/>
      </c>
      <c r="BA41" s="42">
        <v>40</v>
      </c>
    </row>
    <row r="42" spans="1:53" ht="18" customHeight="1" x14ac:dyDescent="0.25">
      <c r="A42" s="147" t="s">
        <v>92</v>
      </c>
      <c r="B42" s="105" t="s">
        <v>93</v>
      </c>
      <c r="C42" s="147">
        <v>1</v>
      </c>
      <c r="D42" s="106" t="s">
        <v>325</v>
      </c>
      <c r="E42" s="107">
        <v>20</v>
      </c>
      <c r="F42" s="107">
        <f t="shared" si="30"/>
        <v>5</v>
      </c>
      <c r="G42" s="108">
        <v>30052</v>
      </c>
      <c r="H42" s="108" t="s">
        <v>314</v>
      </c>
      <c r="I42" s="109">
        <f t="shared" si="31"/>
        <v>4.2697264573290199E-2</v>
      </c>
      <c r="J42" s="110">
        <f>G42*'Target revenue sheet'!$F$19</f>
        <v>10217.68</v>
      </c>
      <c r="K42" s="111">
        <v>12402</v>
      </c>
      <c r="L42" s="112">
        <f t="shared" si="32"/>
        <v>4.5823865210885106E-2</v>
      </c>
      <c r="M42" s="113">
        <f>K42*'Target revenue sheet'!$F$20</f>
        <v>11037.78</v>
      </c>
      <c r="N42" s="114">
        <v>137690</v>
      </c>
      <c r="O42" s="115">
        <f t="shared" si="33"/>
        <v>3.6761299847951484E-2</v>
      </c>
      <c r="P42" s="116">
        <f>N42*'Target revenue sheet'!$F$21</f>
        <v>9638.3000000000011</v>
      </c>
      <c r="Q42" s="117">
        <v>136354</v>
      </c>
      <c r="R42" s="118">
        <f t="shared" si="34"/>
        <v>3.3115564708853872E-2</v>
      </c>
      <c r="S42" s="119">
        <f>Q42*'Target revenue sheet'!$F$22</f>
        <v>8181.24</v>
      </c>
      <c r="T42" s="120">
        <f>'Target revenue sheet'!$F$2</f>
        <v>1000</v>
      </c>
      <c r="U42" s="121">
        <f>(C42-1)*'Target revenue sheet'!$F$1</f>
        <v>0</v>
      </c>
      <c r="V42" s="122">
        <f t="shared" si="35"/>
        <v>40075</v>
      </c>
      <c r="W42" s="123">
        <f>IF(V42&lt;'Target revenue sheet'!$F$3,'Target revenue sheet'!$F$3,V42)</f>
        <v>40075</v>
      </c>
      <c r="X42" s="123">
        <v>1.04</v>
      </c>
      <c r="Y42" s="124">
        <v>49158</v>
      </c>
      <c r="Z42" s="125">
        <f t="shared" si="36"/>
        <v>6.7027085989323776E-2</v>
      </c>
      <c r="AA42" s="126">
        <f t="shared" si="37"/>
        <v>3</v>
      </c>
      <c r="AB42" s="127">
        <v>50633</v>
      </c>
      <c r="AC42" s="127"/>
      <c r="AD42" s="128">
        <f t="shared" si="38"/>
        <v>51139.33</v>
      </c>
      <c r="AE42" s="129">
        <f t="shared" si="39"/>
        <v>0</v>
      </c>
      <c r="AF42" s="130">
        <f t="shared" si="40"/>
        <v>51139.33</v>
      </c>
      <c r="AG42" s="131">
        <f t="shared" si="41"/>
        <v>51645.66</v>
      </c>
      <c r="AH42" s="132">
        <f t="shared" si="42"/>
        <v>0</v>
      </c>
      <c r="AI42" s="133">
        <f t="shared" si="43"/>
        <v>51645.66</v>
      </c>
      <c r="AJ42" s="134">
        <f t="shared" si="44"/>
        <v>52151.99</v>
      </c>
      <c r="AK42" s="135">
        <f t="shared" si="45"/>
        <v>0</v>
      </c>
      <c r="AL42" s="136">
        <f t="shared" si="46"/>
        <v>52151.99</v>
      </c>
      <c r="AM42" s="137">
        <f t="shared" si="47"/>
        <v>52658.32</v>
      </c>
      <c r="AN42" s="137">
        <f t="shared" si="48"/>
        <v>0</v>
      </c>
      <c r="AO42" s="138">
        <f t="shared" si="49"/>
        <v>52658.32</v>
      </c>
      <c r="AP42" s="139">
        <f t="shared" si="50"/>
        <v>2025.3199999999997</v>
      </c>
      <c r="AQ42" s="140">
        <f t="shared" si="51"/>
        <v>3.9999999999999994E-2</v>
      </c>
      <c r="AR42" s="141">
        <f t="shared" si="52"/>
        <v>4.934420018619267E-2</v>
      </c>
      <c r="AS42" s="142">
        <f t="shared" si="53"/>
        <v>3</v>
      </c>
      <c r="AT42" s="143" t="str">
        <f t="shared" si="54"/>
        <v/>
      </c>
      <c r="AU42" s="144" t="str">
        <f t="shared" si="55"/>
        <v/>
      </c>
      <c r="AV42" s="261">
        <v>3500</v>
      </c>
      <c r="AW42" s="146" t="str">
        <f t="shared" si="56"/>
        <v/>
      </c>
      <c r="AX42" s="146" t="str">
        <f t="shared" si="57"/>
        <v/>
      </c>
      <c r="AY42" s="146" t="str">
        <f t="shared" si="58"/>
        <v/>
      </c>
      <c r="AZ42" s="146">
        <f t="shared" si="59"/>
        <v>52658.32</v>
      </c>
      <c r="BA42" s="42">
        <v>37</v>
      </c>
    </row>
    <row r="43" spans="1:53" ht="18" customHeight="1" x14ac:dyDescent="0.25">
      <c r="A43" s="104" t="s">
        <v>105</v>
      </c>
      <c r="B43" s="105" t="s">
        <v>106</v>
      </c>
      <c r="C43" s="104">
        <v>1</v>
      </c>
      <c r="D43" s="106" t="s">
        <v>325</v>
      </c>
      <c r="E43" s="107">
        <v>130</v>
      </c>
      <c r="F43" s="107">
        <f t="shared" si="30"/>
        <v>32</v>
      </c>
      <c r="G43" s="108">
        <v>5923</v>
      </c>
      <c r="H43" s="108" t="s">
        <v>312</v>
      </c>
      <c r="I43" s="109">
        <f t="shared" si="31"/>
        <v>8.4152767891520642E-3</v>
      </c>
      <c r="J43" s="110">
        <f>G43*'Target revenue sheet'!$F$19</f>
        <v>2013.8200000000002</v>
      </c>
      <c r="K43" s="111">
        <v>1810</v>
      </c>
      <c r="L43" s="112">
        <f t="shared" si="32"/>
        <v>6.687727465868573E-3</v>
      </c>
      <c r="M43" s="113">
        <f>K43*'Target revenue sheet'!$F$20</f>
        <v>1610.9</v>
      </c>
      <c r="N43" s="114">
        <v>28238</v>
      </c>
      <c r="O43" s="115">
        <f t="shared" si="33"/>
        <v>7.5391501569210106E-3</v>
      </c>
      <c r="P43" s="116">
        <f>N43*'Target revenue sheet'!$F$21</f>
        <v>1976.66</v>
      </c>
      <c r="Q43" s="117">
        <v>15517</v>
      </c>
      <c r="R43" s="118">
        <f t="shared" si="34"/>
        <v>3.7685305718005014E-3</v>
      </c>
      <c r="S43" s="119">
        <f>Q43*'Target revenue sheet'!$F$22</f>
        <v>931.02</v>
      </c>
      <c r="T43" s="120">
        <f>'Target revenue sheet'!$F$2</f>
        <v>1000</v>
      </c>
      <c r="U43" s="121">
        <f>(C43-1)*'Target revenue sheet'!$F$1</f>
        <v>0</v>
      </c>
      <c r="V43" s="122">
        <f t="shared" si="35"/>
        <v>7532.4</v>
      </c>
      <c r="W43" s="123">
        <f>IF(V43&lt;'Target revenue sheet'!$F$3,'Target revenue sheet'!$F$3,V43)</f>
        <v>7532.4</v>
      </c>
      <c r="X43" s="123">
        <v>1.04</v>
      </c>
      <c r="Y43" s="124">
        <v>8234</v>
      </c>
      <c r="Z43" s="125">
        <f t="shared" si="36"/>
        <v>1.1227084625820659E-2</v>
      </c>
      <c r="AA43" s="126">
        <f t="shared" si="37"/>
        <v>18</v>
      </c>
      <c r="AB43" s="127">
        <v>8481</v>
      </c>
      <c r="AC43" s="127"/>
      <c r="AD43" s="128">
        <f t="shared" si="38"/>
        <v>8565.81</v>
      </c>
      <c r="AE43" s="129">
        <f t="shared" si="39"/>
        <v>0</v>
      </c>
      <c r="AF43" s="130">
        <f t="shared" si="40"/>
        <v>8565.81</v>
      </c>
      <c r="AG43" s="131">
        <f t="shared" si="41"/>
        <v>8650.619999999999</v>
      </c>
      <c r="AH43" s="132">
        <f t="shared" si="42"/>
        <v>0</v>
      </c>
      <c r="AI43" s="133">
        <f t="shared" si="43"/>
        <v>8650.619999999999</v>
      </c>
      <c r="AJ43" s="134">
        <f t="shared" si="44"/>
        <v>8735.43</v>
      </c>
      <c r="AK43" s="135">
        <f t="shared" si="45"/>
        <v>0</v>
      </c>
      <c r="AL43" s="136">
        <f t="shared" si="46"/>
        <v>8735.43</v>
      </c>
      <c r="AM43" s="137">
        <f t="shared" si="47"/>
        <v>8820.24</v>
      </c>
      <c r="AN43" s="137">
        <f t="shared" si="48"/>
        <v>0</v>
      </c>
      <c r="AO43" s="138">
        <f t="shared" si="49"/>
        <v>8820.24</v>
      </c>
      <c r="AP43" s="139">
        <f t="shared" si="50"/>
        <v>339.23999999999978</v>
      </c>
      <c r="AQ43" s="140">
        <f t="shared" si="51"/>
        <v>3.9999999999999973E-2</v>
      </c>
      <c r="AR43" s="141">
        <f t="shared" si="52"/>
        <v>8.2651267311654453E-3</v>
      </c>
      <c r="AS43" s="142">
        <f t="shared" si="53"/>
        <v>28</v>
      </c>
      <c r="AT43" s="143" t="str">
        <f t="shared" si="54"/>
        <v/>
      </c>
      <c r="AU43" s="144" t="str">
        <f t="shared" si="55"/>
        <v/>
      </c>
      <c r="AV43" s="260">
        <v>2625</v>
      </c>
      <c r="AW43" s="146" t="str">
        <f t="shared" si="56"/>
        <v/>
      </c>
      <c r="AX43" s="146" t="str">
        <f t="shared" si="57"/>
        <v/>
      </c>
      <c r="AY43" s="146">
        <f t="shared" si="58"/>
        <v>8820.24</v>
      </c>
      <c r="AZ43" s="146" t="str">
        <f t="shared" si="59"/>
        <v/>
      </c>
      <c r="BA43" s="42">
        <v>43</v>
      </c>
    </row>
    <row r="44" spans="1:53" ht="18" customHeight="1" x14ac:dyDescent="0.25">
      <c r="A44" s="153" t="s">
        <v>107</v>
      </c>
      <c r="B44" s="149" t="s">
        <v>108</v>
      </c>
      <c r="C44" s="153">
        <v>1</v>
      </c>
      <c r="D44" s="150" t="s">
        <v>323</v>
      </c>
      <c r="E44" s="107">
        <v>90</v>
      </c>
      <c r="F44" s="107">
        <f t="shared" si="30"/>
        <v>19</v>
      </c>
      <c r="G44" s="108">
        <v>6391</v>
      </c>
      <c r="H44" s="108" t="s">
        <v>312</v>
      </c>
      <c r="I44" s="109">
        <f t="shared" si="31"/>
        <v>9.0802015801909244E-3</v>
      </c>
      <c r="J44" s="110">
        <f>G44*'Target revenue sheet'!$F$19</f>
        <v>2172.94</v>
      </c>
      <c r="K44" s="111">
        <v>1647</v>
      </c>
      <c r="L44" s="112">
        <f t="shared" si="32"/>
        <v>6.0854625062351049E-3</v>
      </c>
      <c r="M44" s="113">
        <f>K44*'Target revenue sheet'!$F$20</f>
        <v>1465.83</v>
      </c>
      <c r="N44" s="114">
        <v>50990</v>
      </c>
      <c r="O44" s="115">
        <f t="shared" si="33"/>
        <v>1.3613615217133024E-2</v>
      </c>
      <c r="P44" s="116">
        <f>N44*'Target revenue sheet'!$F$21</f>
        <v>3569.3</v>
      </c>
      <c r="Q44" s="117">
        <v>42687</v>
      </c>
      <c r="R44" s="118">
        <f t="shared" si="34"/>
        <v>1.036716275816511E-2</v>
      </c>
      <c r="S44" s="119">
        <f>Q44*'Target revenue sheet'!$F$22</f>
        <v>2561.2199999999998</v>
      </c>
      <c r="T44" s="120">
        <f>'Target revenue sheet'!$F$2</f>
        <v>1000</v>
      </c>
      <c r="U44" s="121">
        <f>(C44-1)*'Target revenue sheet'!$F$1</f>
        <v>0</v>
      </c>
      <c r="V44" s="122">
        <f t="shared" si="35"/>
        <v>10769.289999999999</v>
      </c>
      <c r="W44" s="123">
        <f>IF(V44&lt;'Target revenue sheet'!$F$3,'Target revenue sheet'!$F$3,V44)</f>
        <v>10769.289999999999</v>
      </c>
      <c r="X44" s="123"/>
      <c r="Y44" s="124">
        <v>1925</v>
      </c>
      <c r="Z44" s="125">
        <f t="shared" si="36"/>
        <v>2.6247434909770183E-3</v>
      </c>
      <c r="AA44" s="126">
        <f t="shared" si="37"/>
        <v>48</v>
      </c>
      <c r="AB44" s="151">
        <v>1900</v>
      </c>
      <c r="AC44" s="127">
        <v>2090</v>
      </c>
      <c r="AD44" s="128">
        <f t="shared" si="38"/>
        <v>4117.3225000000002</v>
      </c>
      <c r="AE44" s="129">
        <f t="shared" si="39"/>
        <v>411.73225000000002</v>
      </c>
      <c r="AF44" s="130">
        <f t="shared" si="40"/>
        <v>4529.0547500000002</v>
      </c>
      <c r="AG44" s="131">
        <f t="shared" si="41"/>
        <v>6334.6449999999995</v>
      </c>
      <c r="AH44" s="132">
        <f t="shared" si="42"/>
        <v>633.46450000000004</v>
      </c>
      <c r="AI44" s="133">
        <f t="shared" si="43"/>
        <v>6968.1094999999996</v>
      </c>
      <c r="AJ44" s="134">
        <f t="shared" si="44"/>
        <v>8551.9674999999988</v>
      </c>
      <c r="AK44" s="135">
        <f t="shared" si="45"/>
        <v>855.19674999999995</v>
      </c>
      <c r="AL44" s="136">
        <f t="shared" si="46"/>
        <v>9407.164249999998</v>
      </c>
      <c r="AM44" s="137">
        <f t="shared" si="47"/>
        <v>10769.289999999999</v>
      </c>
      <c r="AN44" s="137">
        <f t="shared" si="48"/>
        <v>1076.9289999999999</v>
      </c>
      <c r="AO44" s="138">
        <f t="shared" si="49"/>
        <v>11846.218999999999</v>
      </c>
      <c r="AP44" s="139">
        <f t="shared" si="50"/>
        <v>8869.2899999999991</v>
      </c>
      <c r="AQ44" s="140">
        <f t="shared" si="51"/>
        <v>4.6680473684210524</v>
      </c>
      <c r="AR44" s="141">
        <f t="shared" si="52"/>
        <v>1.1100661809671845E-2</v>
      </c>
      <c r="AS44" s="142">
        <f t="shared" si="53"/>
        <v>20</v>
      </c>
      <c r="AT44" s="143">
        <f t="shared" si="54"/>
        <v>8869.2899999999991</v>
      </c>
      <c r="AU44" s="144">
        <f t="shared" si="55"/>
        <v>8869.2899999999991</v>
      </c>
      <c r="AV44" s="260">
        <v>875</v>
      </c>
      <c r="AW44" s="146" t="str">
        <f t="shared" si="56"/>
        <v/>
      </c>
      <c r="AX44" s="146" t="str">
        <f t="shared" si="57"/>
        <v/>
      </c>
      <c r="AY44" s="146">
        <f t="shared" si="58"/>
        <v>10769.289999999999</v>
      </c>
      <c r="AZ44" s="146" t="str">
        <f t="shared" si="59"/>
        <v/>
      </c>
      <c r="BA44" s="42">
        <v>44</v>
      </c>
    </row>
    <row r="45" spans="1:53" ht="18" customHeight="1" x14ac:dyDescent="0.25">
      <c r="A45" s="147" t="s">
        <v>112</v>
      </c>
      <c r="B45" s="152" t="s">
        <v>113</v>
      </c>
      <c r="C45" s="147">
        <v>1</v>
      </c>
      <c r="D45" s="106" t="s">
        <v>325</v>
      </c>
      <c r="E45" s="107">
        <v>131</v>
      </c>
      <c r="F45" s="107">
        <f t="shared" si="30"/>
        <v>33</v>
      </c>
      <c r="G45" s="108">
        <v>5471</v>
      </c>
      <c r="H45" s="108" t="s">
        <v>312</v>
      </c>
      <c r="I45" s="109">
        <f t="shared" si="31"/>
        <v>7.773084469601713E-3</v>
      </c>
      <c r="J45" s="110">
        <f>G45*'Target revenue sheet'!$F$19</f>
        <v>1860.14</v>
      </c>
      <c r="K45" s="111">
        <v>1708</v>
      </c>
      <c r="L45" s="112">
        <f t="shared" si="32"/>
        <v>6.310850006466035E-3</v>
      </c>
      <c r="M45" s="113">
        <f>K45*'Target revenue sheet'!$F$20</f>
        <v>1520.1200000000001</v>
      </c>
      <c r="N45" s="114">
        <v>28682</v>
      </c>
      <c r="O45" s="115">
        <f t="shared" si="33"/>
        <v>7.6576919328850638E-3</v>
      </c>
      <c r="P45" s="116">
        <f>N45*'Target revenue sheet'!$F$21</f>
        <v>2007.7400000000002</v>
      </c>
      <c r="Q45" s="117">
        <v>24886</v>
      </c>
      <c r="R45" s="118">
        <f t="shared" si="34"/>
        <v>6.0439293555343996E-3</v>
      </c>
      <c r="S45" s="119">
        <f>Q45*'Target revenue sheet'!$F$22</f>
        <v>1493.1599999999999</v>
      </c>
      <c r="T45" s="120">
        <f>'Target revenue sheet'!$F$2</f>
        <v>1000</v>
      </c>
      <c r="U45" s="121">
        <f>(C45-1)*'Target revenue sheet'!$F$1</f>
        <v>0</v>
      </c>
      <c r="V45" s="122">
        <f t="shared" si="35"/>
        <v>7881.16</v>
      </c>
      <c r="W45" s="123">
        <f>IF(V45&lt;'Target revenue sheet'!$F$3,'Target revenue sheet'!$F$3,V45)</f>
        <v>7881.16</v>
      </c>
      <c r="X45" s="123"/>
      <c r="Y45" s="124">
        <v>1750</v>
      </c>
      <c r="Z45" s="125">
        <f t="shared" si="36"/>
        <v>2.3861304463427438E-3</v>
      </c>
      <c r="AA45" s="126">
        <f t="shared" si="37"/>
        <v>58</v>
      </c>
      <c r="AB45" s="127">
        <v>1900</v>
      </c>
      <c r="AC45" s="127"/>
      <c r="AD45" s="128">
        <f t="shared" si="38"/>
        <v>3395.29</v>
      </c>
      <c r="AE45" s="129">
        <f t="shared" si="39"/>
        <v>0</v>
      </c>
      <c r="AF45" s="130">
        <f t="shared" si="40"/>
        <v>3395.29</v>
      </c>
      <c r="AG45" s="131">
        <f t="shared" si="41"/>
        <v>4890.58</v>
      </c>
      <c r="AH45" s="132">
        <f t="shared" si="42"/>
        <v>0</v>
      </c>
      <c r="AI45" s="133">
        <f t="shared" si="43"/>
        <v>4890.58</v>
      </c>
      <c r="AJ45" s="134">
        <f t="shared" si="44"/>
        <v>6385.87</v>
      </c>
      <c r="AK45" s="135">
        <f t="shared" si="45"/>
        <v>0</v>
      </c>
      <c r="AL45" s="136">
        <f t="shared" si="46"/>
        <v>6385.87</v>
      </c>
      <c r="AM45" s="137">
        <f t="shared" si="47"/>
        <v>7881.16</v>
      </c>
      <c r="AN45" s="137">
        <f t="shared" si="48"/>
        <v>0</v>
      </c>
      <c r="AO45" s="138">
        <f t="shared" si="49"/>
        <v>7881.16</v>
      </c>
      <c r="AP45" s="139">
        <f t="shared" si="50"/>
        <v>5981.16</v>
      </c>
      <c r="AQ45" s="140">
        <f t="shared" si="51"/>
        <v>3.1479789473684208</v>
      </c>
      <c r="AR45" s="141">
        <f t="shared" si="52"/>
        <v>7.3851489515695569E-3</v>
      </c>
      <c r="AS45" s="142">
        <f t="shared" si="53"/>
        <v>33</v>
      </c>
      <c r="AT45" s="143">
        <f t="shared" si="54"/>
        <v>5981.16</v>
      </c>
      <c r="AU45" s="144">
        <f t="shared" si="55"/>
        <v>5981.16</v>
      </c>
      <c r="AV45" s="260">
        <v>875</v>
      </c>
      <c r="AW45" s="146" t="str">
        <f t="shared" si="56"/>
        <v/>
      </c>
      <c r="AX45" s="146" t="str">
        <f t="shared" si="57"/>
        <v/>
      </c>
      <c r="AY45" s="146">
        <f t="shared" si="58"/>
        <v>7881.16</v>
      </c>
      <c r="AZ45" s="146" t="str">
        <f t="shared" si="59"/>
        <v/>
      </c>
      <c r="BA45" s="42">
        <v>46</v>
      </c>
    </row>
    <row r="46" spans="1:53" ht="18" customHeight="1" x14ac:dyDescent="0.25">
      <c r="A46" s="104" t="s">
        <v>102</v>
      </c>
      <c r="B46" s="105" t="s">
        <v>103</v>
      </c>
      <c r="C46" s="104">
        <v>1</v>
      </c>
      <c r="D46" s="106" t="s">
        <v>325</v>
      </c>
      <c r="E46" s="107">
        <v>255</v>
      </c>
      <c r="F46" s="107">
        <f t="shared" si="30"/>
        <v>62</v>
      </c>
      <c r="G46" s="108">
        <v>1459</v>
      </c>
      <c r="H46" s="108" t="s">
        <v>311</v>
      </c>
      <c r="I46" s="109">
        <f t="shared" si="31"/>
        <v>2.0729172438583255E-3</v>
      </c>
      <c r="J46" s="110">
        <f>G46*'Target revenue sheet'!$F$19</f>
        <v>496.06000000000006</v>
      </c>
      <c r="K46" s="111">
        <v>866</v>
      </c>
      <c r="L46" s="112">
        <f t="shared" si="32"/>
        <v>3.1997635278686104E-3</v>
      </c>
      <c r="M46" s="113">
        <f>K46*'Target revenue sheet'!$F$20</f>
        <v>770.74</v>
      </c>
      <c r="N46" s="114">
        <v>14186</v>
      </c>
      <c r="O46" s="115">
        <f t="shared" si="33"/>
        <v>3.7874631392478737E-3</v>
      </c>
      <c r="P46" s="116">
        <f>N46*'Target revenue sheet'!$F$21</f>
        <v>993.0200000000001</v>
      </c>
      <c r="Q46" s="117">
        <v>15442</v>
      </c>
      <c r="R46" s="118">
        <f t="shared" si="34"/>
        <v>3.7503157240280556E-3</v>
      </c>
      <c r="S46" s="119">
        <f>Q46*'Target revenue sheet'!$F$22</f>
        <v>926.52</v>
      </c>
      <c r="T46" s="120">
        <f>'Target revenue sheet'!$F$2</f>
        <v>1000</v>
      </c>
      <c r="U46" s="121">
        <f>(C46-1)*'Target revenue sheet'!$F$1</f>
        <v>0</v>
      </c>
      <c r="V46" s="122">
        <f t="shared" si="35"/>
        <v>4186.34</v>
      </c>
      <c r="W46" s="123">
        <f>IF(V46&lt;'Target revenue sheet'!$F$3,'Target revenue sheet'!$F$3,V46)</f>
        <v>4186.34</v>
      </c>
      <c r="X46" s="123"/>
      <c r="Y46" s="124">
        <v>2930</v>
      </c>
      <c r="Z46" s="125">
        <f t="shared" si="36"/>
        <v>3.9950641187338513E-3</v>
      </c>
      <c r="AA46" s="126">
        <f t="shared" si="37"/>
        <v>29</v>
      </c>
      <c r="AB46" s="127">
        <v>3080</v>
      </c>
      <c r="AC46" s="127"/>
      <c r="AD46" s="128">
        <f t="shared" si="38"/>
        <v>3356.585</v>
      </c>
      <c r="AE46" s="129">
        <f t="shared" si="39"/>
        <v>0</v>
      </c>
      <c r="AF46" s="130">
        <f t="shared" si="40"/>
        <v>3356.585</v>
      </c>
      <c r="AG46" s="131">
        <f t="shared" si="41"/>
        <v>3633.17</v>
      </c>
      <c r="AH46" s="132">
        <f t="shared" si="42"/>
        <v>0</v>
      </c>
      <c r="AI46" s="133">
        <f t="shared" si="43"/>
        <v>3633.17</v>
      </c>
      <c r="AJ46" s="134">
        <f t="shared" si="44"/>
        <v>3909.7550000000001</v>
      </c>
      <c r="AK46" s="135">
        <f t="shared" si="45"/>
        <v>0</v>
      </c>
      <c r="AL46" s="136">
        <f t="shared" si="46"/>
        <v>3909.7550000000001</v>
      </c>
      <c r="AM46" s="137">
        <f t="shared" si="47"/>
        <v>4186.34</v>
      </c>
      <c r="AN46" s="137">
        <f t="shared" si="48"/>
        <v>0</v>
      </c>
      <c r="AO46" s="138">
        <f t="shared" si="49"/>
        <v>4186.34</v>
      </c>
      <c r="AP46" s="139">
        <f t="shared" si="50"/>
        <v>1106.3400000000001</v>
      </c>
      <c r="AQ46" s="140">
        <f t="shared" si="51"/>
        <v>0.35920129870129874</v>
      </c>
      <c r="AR46" s="141">
        <f t="shared" si="52"/>
        <v>3.9228672507490899E-3</v>
      </c>
      <c r="AS46" s="142">
        <f t="shared" si="53"/>
        <v>62</v>
      </c>
      <c r="AT46" s="143" t="str">
        <f t="shared" si="54"/>
        <v/>
      </c>
      <c r="AU46" s="144" t="str">
        <f t="shared" si="55"/>
        <v/>
      </c>
      <c r="AV46" s="261">
        <v>2625</v>
      </c>
      <c r="AW46" s="146">
        <f t="shared" si="56"/>
        <v>4186.34</v>
      </c>
      <c r="AX46" s="146" t="str">
        <f t="shared" si="57"/>
        <v/>
      </c>
      <c r="AY46" s="146" t="str">
        <f t="shared" si="58"/>
        <v/>
      </c>
      <c r="AZ46" s="146" t="str">
        <f t="shared" si="59"/>
        <v/>
      </c>
      <c r="BA46" s="42">
        <v>42</v>
      </c>
    </row>
    <row r="47" spans="1:53" ht="18" customHeight="1" x14ac:dyDescent="0.25">
      <c r="A47" s="104" t="s">
        <v>114</v>
      </c>
      <c r="B47" s="105" t="s">
        <v>115</v>
      </c>
      <c r="C47" s="104">
        <v>1</v>
      </c>
      <c r="D47" s="106" t="s">
        <v>325</v>
      </c>
      <c r="E47" s="107">
        <v>154</v>
      </c>
      <c r="F47" s="107">
        <f t="shared" si="30"/>
        <v>37</v>
      </c>
      <c r="G47" s="108">
        <v>3395</v>
      </c>
      <c r="H47" s="108" t="s">
        <v>313</v>
      </c>
      <c r="I47" s="109">
        <f t="shared" si="31"/>
        <v>4.8235462939677969E-3</v>
      </c>
      <c r="J47" s="110">
        <f>G47*'Target revenue sheet'!$F$19</f>
        <v>1154.3000000000002</v>
      </c>
      <c r="K47" s="111">
        <v>1563</v>
      </c>
      <c r="L47" s="112">
        <f t="shared" si="32"/>
        <v>5.775092833785956E-3</v>
      </c>
      <c r="M47" s="113">
        <f>K47*'Target revenue sheet'!$F$20</f>
        <v>1391.07</v>
      </c>
      <c r="N47" s="114">
        <v>23616</v>
      </c>
      <c r="O47" s="115">
        <f t="shared" si="33"/>
        <v>6.3051409485744949E-3</v>
      </c>
      <c r="P47" s="116">
        <f>N47*'Target revenue sheet'!$F$21</f>
        <v>1653.1200000000001</v>
      </c>
      <c r="Q47" s="117">
        <v>29161</v>
      </c>
      <c r="R47" s="118">
        <f t="shared" si="34"/>
        <v>7.0821756785637959E-3</v>
      </c>
      <c r="S47" s="119">
        <f>Q47*'Target revenue sheet'!$F$22</f>
        <v>1749.6599999999999</v>
      </c>
      <c r="T47" s="120">
        <f>'Target revenue sheet'!$F$2</f>
        <v>1000</v>
      </c>
      <c r="U47" s="121">
        <f>(C47-1)*'Target revenue sheet'!$F$1</f>
        <v>0</v>
      </c>
      <c r="V47" s="122">
        <f t="shared" si="35"/>
        <v>6948.15</v>
      </c>
      <c r="W47" s="123">
        <f>IF(V47&lt;'Target revenue sheet'!$F$3,'Target revenue sheet'!$F$3,V47)</f>
        <v>6948.15</v>
      </c>
      <c r="X47" s="123"/>
      <c r="Y47" s="124">
        <v>5286</v>
      </c>
      <c r="Z47" s="125">
        <f t="shared" si="36"/>
        <v>7.2074774510672819E-3</v>
      </c>
      <c r="AA47" s="126">
        <f t="shared" si="37"/>
        <v>21</v>
      </c>
      <c r="AB47" s="127">
        <v>5445</v>
      </c>
      <c r="AC47" s="127"/>
      <c r="AD47" s="128">
        <f t="shared" si="38"/>
        <v>5820.7875000000004</v>
      </c>
      <c r="AE47" s="129">
        <f t="shared" si="39"/>
        <v>0</v>
      </c>
      <c r="AF47" s="130">
        <f t="shared" si="40"/>
        <v>5820.7875000000004</v>
      </c>
      <c r="AG47" s="131">
        <f t="shared" si="41"/>
        <v>6196.5749999999998</v>
      </c>
      <c r="AH47" s="132">
        <f t="shared" si="42"/>
        <v>0</v>
      </c>
      <c r="AI47" s="133">
        <f t="shared" si="43"/>
        <v>6196.5749999999998</v>
      </c>
      <c r="AJ47" s="134">
        <f t="shared" si="44"/>
        <v>6572.3624999999993</v>
      </c>
      <c r="AK47" s="135">
        <f t="shared" si="45"/>
        <v>0</v>
      </c>
      <c r="AL47" s="136">
        <f t="shared" si="46"/>
        <v>6572.3624999999993</v>
      </c>
      <c r="AM47" s="137">
        <f t="shared" si="47"/>
        <v>6948.15</v>
      </c>
      <c r="AN47" s="137">
        <f t="shared" si="48"/>
        <v>0</v>
      </c>
      <c r="AO47" s="138">
        <f t="shared" si="49"/>
        <v>6948.15</v>
      </c>
      <c r="AP47" s="139">
        <f t="shared" si="50"/>
        <v>1503.1499999999996</v>
      </c>
      <c r="AQ47" s="140">
        <f t="shared" si="51"/>
        <v>0.27606060606060601</v>
      </c>
      <c r="AR47" s="141">
        <f t="shared" si="52"/>
        <v>6.5108591486339592E-3</v>
      </c>
      <c r="AS47" s="142">
        <f t="shared" si="53"/>
        <v>37</v>
      </c>
      <c r="AT47" s="143" t="str">
        <f t="shared" si="54"/>
        <v/>
      </c>
      <c r="AU47" s="144" t="str">
        <f t="shared" si="55"/>
        <v/>
      </c>
      <c r="AV47" s="260">
        <v>2625</v>
      </c>
      <c r="AW47" s="146" t="str">
        <f t="shared" si="56"/>
        <v/>
      </c>
      <c r="AX47" s="146">
        <f t="shared" si="57"/>
        <v>6948.15</v>
      </c>
      <c r="AY47" s="146" t="str">
        <f t="shared" si="58"/>
        <v/>
      </c>
      <c r="AZ47" s="146" t="str">
        <f t="shared" si="59"/>
        <v/>
      </c>
      <c r="BA47" s="42">
        <v>47</v>
      </c>
    </row>
    <row r="48" spans="1:53" ht="18" customHeight="1" x14ac:dyDescent="0.25">
      <c r="A48" s="104" t="s">
        <v>109</v>
      </c>
      <c r="B48" s="152" t="s">
        <v>110</v>
      </c>
      <c r="C48" s="104">
        <v>1</v>
      </c>
      <c r="D48" s="106" t="s">
        <v>325</v>
      </c>
      <c r="E48" s="107">
        <v>193</v>
      </c>
      <c r="F48" s="107">
        <f t="shared" si="30"/>
        <v>45</v>
      </c>
      <c r="G48" s="108">
        <v>2320</v>
      </c>
      <c r="H48" s="108" t="s">
        <v>313</v>
      </c>
      <c r="I48" s="109">
        <f t="shared" si="31"/>
        <v>3.2962083658336638E-3</v>
      </c>
      <c r="J48" s="110">
        <f>G48*'Target revenue sheet'!$F$19</f>
        <v>788.80000000000007</v>
      </c>
      <c r="K48" s="111">
        <v>1330</v>
      </c>
      <c r="L48" s="112">
        <f t="shared" si="32"/>
        <v>4.9141864804448628E-3</v>
      </c>
      <c r="M48" s="113">
        <f>K48*'Target revenue sheet'!$F$20</f>
        <v>1183.7</v>
      </c>
      <c r="N48" s="114">
        <v>26887</v>
      </c>
      <c r="O48" s="115">
        <f t="shared" si="33"/>
        <v>7.1784520953727324E-3</v>
      </c>
      <c r="P48" s="116">
        <f>N48*'Target revenue sheet'!$F$21</f>
        <v>1882.0900000000001</v>
      </c>
      <c r="Q48" s="117">
        <v>9166</v>
      </c>
      <c r="R48" s="118">
        <f t="shared" si="34"/>
        <v>2.2260972624298121E-3</v>
      </c>
      <c r="S48" s="119">
        <f>Q48*'Target revenue sheet'!$F$22</f>
        <v>549.96</v>
      </c>
      <c r="T48" s="120">
        <f>'Target revenue sheet'!$F$2</f>
        <v>1000</v>
      </c>
      <c r="U48" s="121">
        <f>(C48-1)*'Target revenue sheet'!$F$1</f>
        <v>0</v>
      </c>
      <c r="V48" s="122">
        <f t="shared" si="35"/>
        <v>5404.55</v>
      </c>
      <c r="W48" s="123">
        <f>IF(V48&lt;'Target revenue sheet'!$F$3,'Target revenue sheet'!$F$3,V48)</f>
        <v>5404.55</v>
      </c>
      <c r="X48" s="123"/>
      <c r="Y48" s="124">
        <v>1750</v>
      </c>
      <c r="Z48" s="125">
        <f t="shared" si="36"/>
        <v>2.3861304463427438E-3</v>
      </c>
      <c r="AA48" s="126">
        <f t="shared" si="37"/>
        <v>58</v>
      </c>
      <c r="AB48" s="127">
        <v>1900</v>
      </c>
      <c r="AC48" s="127"/>
      <c r="AD48" s="128">
        <f t="shared" si="38"/>
        <v>2776.1374999999998</v>
      </c>
      <c r="AE48" s="129">
        <f t="shared" si="39"/>
        <v>0</v>
      </c>
      <c r="AF48" s="130">
        <f t="shared" si="40"/>
        <v>2776.1374999999998</v>
      </c>
      <c r="AG48" s="131">
        <f t="shared" si="41"/>
        <v>3652.2750000000001</v>
      </c>
      <c r="AH48" s="132">
        <f t="shared" si="42"/>
        <v>0</v>
      </c>
      <c r="AI48" s="133">
        <f t="shared" si="43"/>
        <v>3652.2750000000001</v>
      </c>
      <c r="AJ48" s="134">
        <f t="shared" si="44"/>
        <v>4528.4125000000004</v>
      </c>
      <c r="AK48" s="135">
        <f t="shared" si="45"/>
        <v>0</v>
      </c>
      <c r="AL48" s="136">
        <f t="shared" si="46"/>
        <v>4528.4125000000004</v>
      </c>
      <c r="AM48" s="137">
        <f t="shared" si="47"/>
        <v>5404.55</v>
      </c>
      <c r="AN48" s="137">
        <f t="shared" si="48"/>
        <v>0</v>
      </c>
      <c r="AO48" s="138">
        <f t="shared" si="49"/>
        <v>5404.55</v>
      </c>
      <c r="AP48" s="139">
        <f t="shared" si="50"/>
        <v>3504.55</v>
      </c>
      <c r="AQ48" s="140">
        <f t="shared" si="51"/>
        <v>1.8445</v>
      </c>
      <c r="AR48" s="141">
        <f t="shared" si="52"/>
        <v>5.0644076209853941E-3</v>
      </c>
      <c r="AS48" s="142">
        <f t="shared" si="53"/>
        <v>49</v>
      </c>
      <c r="AT48" s="143">
        <f t="shared" si="54"/>
        <v>3504.55</v>
      </c>
      <c r="AU48" s="144" t="str">
        <f t="shared" si="55"/>
        <v/>
      </c>
      <c r="AV48" s="260">
        <v>1750</v>
      </c>
      <c r="AW48" s="146" t="str">
        <f t="shared" si="56"/>
        <v/>
      </c>
      <c r="AX48" s="146">
        <f t="shared" si="57"/>
        <v>5404.55</v>
      </c>
      <c r="AY48" s="146" t="str">
        <f t="shared" si="58"/>
        <v/>
      </c>
      <c r="AZ48" s="146" t="str">
        <f t="shared" si="59"/>
        <v/>
      </c>
      <c r="BA48" s="42">
        <v>45</v>
      </c>
    </row>
    <row r="49" spans="1:53" ht="18" customHeight="1" x14ac:dyDescent="0.25">
      <c r="A49" s="104" t="s">
        <v>116</v>
      </c>
      <c r="B49" s="105" t="s">
        <v>117</v>
      </c>
      <c r="C49" s="104">
        <v>6</v>
      </c>
      <c r="D49" s="106" t="s">
        <v>325</v>
      </c>
      <c r="E49" s="107">
        <v>40</v>
      </c>
      <c r="F49" s="107">
        <f t="shared" si="30"/>
        <v>10</v>
      </c>
      <c r="G49" s="108">
        <v>21481</v>
      </c>
      <c r="H49" s="108" t="s">
        <v>314</v>
      </c>
      <c r="I49" s="109">
        <f t="shared" si="31"/>
        <v>3.0519763752790054E-2</v>
      </c>
      <c r="J49" s="110">
        <f>G49*'Target revenue sheet'!$F$19</f>
        <v>7303.5400000000009</v>
      </c>
      <c r="K49" s="111">
        <v>6661</v>
      </c>
      <c r="L49" s="112">
        <f t="shared" si="32"/>
        <v>2.4611576049806943E-2</v>
      </c>
      <c r="M49" s="113">
        <f>K49*'Target revenue sheet'!$F$20</f>
        <v>5928.29</v>
      </c>
      <c r="N49" s="114">
        <v>92569</v>
      </c>
      <c r="O49" s="115">
        <f t="shared" si="33"/>
        <v>2.4714625358595546E-2</v>
      </c>
      <c r="P49" s="116">
        <f>N49*'Target revenue sheet'!$F$21</f>
        <v>6479.8300000000008</v>
      </c>
      <c r="Q49" s="117">
        <v>106511</v>
      </c>
      <c r="R49" s="118">
        <f t="shared" si="34"/>
        <v>2.5867755347879304E-2</v>
      </c>
      <c r="S49" s="119">
        <f>Q49*'Target revenue sheet'!$F$22</f>
        <v>6390.66</v>
      </c>
      <c r="T49" s="120">
        <f>'Target revenue sheet'!$F$2</f>
        <v>1000</v>
      </c>
      <c r="U49" s="121">
        <f>(C49-1)*'Target revenue sheet'!$F$1</f>
        <v>10000</v>
      </c>
      <c r="V49" s="122">
        <f t="shared" si="35"/>
        <v>37102.320000000007</v>
      </c>
      <c r="W49" s="123">
        <f>IF(V49&lt;'Target revenue sheet'!$F$3,'Target revenue sheet'!$F$3,V49)</f>
        <v>37102.320000000007</v>
      </c>
      <c r="X49" s="123"/>
      <c r="Y49" s="124">
        <v>28839</v>
      </c>
      <c r="Z49" s="125">
        <f t="shared" si="36"/>
        <v>3.9322066252616222E-2</v>
      </c>
      <c r="AA49" s="126">
        <f t="shared" si="37"/>
        <v>5</v>
      </c>
      <c r="AB49" s="127">
        <v>29241</v>
      </c>
      <c r="AC49" s="127"/>
      <c r="AD49" s="128">
        <f t="shared" si="38"/>
        <v>31206.33</v>
      </c>
      <c r="AE49" s="129">
        <f t="shared" si="39"/>
        <v>0</v>
      </c>
      <c r="AF49" s="130">
        <f t="shared" si="40"/>
        <v>31206.33</v>
      </c>
      <c r="AG49" s="131">
        <f t="shared" si="41"/>
        <v>33171.660000000003</v>
      </c>
      <c r="AH49" s="132">
        <f t="shared" si="42"/>
        <v>0</v>
      </c>
      <c r="AI49" s="133">
        <f t="shared" si="43"/>
        <v>33171.660000000003</v>
      </c>
      <c r="AJ49" s="134">
        <f t="shared" si="44"/>
        <v>35136.990000000005</v>
      </c>
      <c r="AK49" s="135">
        <f t="shared" si="45"/>
        <v>0</v>
      </c>
      <c r="AL49" s="136">
        <f t="shared" si="46"/>
        <v>35136.990000000005</v>
      </c>
      <c r="AM49" s="137">
        <f t="shared" si="47"/>
        <v>37102.320000000007</v>
      </c>
      <c r="AN49" s="137">
        <f t="shared" si="48"/>
        <v>0</v>
      </c>
      <c r="AO49" s="138">
        <f t="shared" si="49"/>
        <v>37102.320000000007</v>
      </c>
      <c r="AP49" s="139">
        <f t="shared" si="50"/>
        <v>7861.320000000007</v>
      </c>
      <c r="AQ49" s="140">
        <f t="shared" si="51"/>
        <v>0.2688457987072948</v>
      </c>
      <c r="AR49" s="141">
        <f t="shared" si="52"/>
        <v>3.4767237265681476E-2</v>
      </c>
      <c r="AS49" s="142">
        <f t="shared" si="53"/>
        <v>6</v>
      </c>
      <c r="AT49" s="143" t="str">
        <f t="shared" si="54"/>
        <v/>
      </c>
      <c r="AU49" s="144" t="str">
        <f t="shared" si="55"/>
        <v/>
      </c>
      <c r="AV49" s="261">
        <v>3500</v>
      </c>
      <c r="AW49" s="146" t="str">
        <f t="shared" si="56"/>
        <v/>
      </c>
      <c r="AX49" s="146" t="str">
        <f t="shared" si="57"/>
        <v/>
      </c>
      <c r="AY49" s="146" t="str">
        <f t="shared" si="58"/>
        <v/>
      </c>
      <c r="AZ49" s="146">
        <f t="shared" si="59"/>
        <v>37102.320000000007</v>
      </c>
      <c r="BA49" s="42">
        <v>48</v>
      </c>
    </row>
    <row r="50" spans="1:53" ht="18" customHeight="1" x14ac:dyDescent="0.25">
      <c r="A50" s="147" t="s">
        <v>118</v>
      </c>
      <c r="B50" s="105" t="s">
        <v>119</v>
      </c>
      <c r="C50" s="147">
        <v>1</v>
      </c>
      <c r="D50" s="106" t="s">
        <v>325</v>
      </c>
      <c r="E50" s="107">
        <v>42</v>
      </c>
      <c r="F50" s="107">
        <f t="shared" si="30"/>
        <v>11</v>
      </c>
      <c r="G50" s="108">
        <v>17616</v>
      </c>
      <c r="H50" s="108" t="s">
        <v>314</v>
      </c>
      <c r="I50" s="109">
        <f t="shared" si="31"/>
        <v>2.5028451108847334E-2</v>
      </c>
      <c r="J50" s="110">
        <f>G50*'Target revenue sheet'!$F$19</f>
        <v>5989.4400000000005</v>
      </c>
      <c r="K50" s="111">
        <v>7026</v>
      </c>
      <c r="L50" s="112">
        <f t="shared" si="32"/>
        <v>2.5960206174139557E-2</v>
      </c>
      <c r="M50" s="113">
        <f>K50*'Target revenue sheet'!$F$20</f>
        <v>6253.14</v>
      </c>
      <c r="N50" s="114">
        <v>92627</v>
      </c>
      <c r="O50" s="115">
        <f t="shared" si="33"/>
        <v>2.4730110545545806E-2</v>
      </c>
      <c r="P50" s="116">
        <f>N50*'Target revenue sheet'!$F$21</f>
        <v>6483.89</v>
      </c>
      <c r="Q50" s="117">
        <v>74208</v>
      </c>
      <c r="R50" s="118">
        <f t="shared" si="34"/>
        <v>1.8022498979968524E-2</v>
      </c>
      <c r="S50" s="119">
        <f>Q50*'Target revenue sheet'!$F$22</f>
        <v>4452.4799999999996</v>
      </c>
      <c r="T50" s="120">
        <f>'Target revenue sheet'!$F$2</f>
        <v>1000</v>
      </c>
      <c r="U50" s="121">
        <f>(C50-1)*'Target revenue sheet'!$F$1</f>
        <v>0</v>
      </c>
      <c r="V50" s="122">
        <f t="shared" si="35"/>
        <v>24178.95</v>
      </c>
      <c r="W50" s="123">
        <f>IF(V50&lt;'Target revenue sheet'!$F$3,'Target revenue sheet'!$F$3,V50)</f>
        <v>24178.95</v>
      </c>
      <c r="X50" s="123">
        <v>1.04</v>
      </c>
      <c r="Y50" s="124">
        <v>25808</v>
      </c>
      <c r="Z50" s="125">
        <f t="shared" si="36"/>
        <v>3.5189288319550587E-2</v>
      </c>
      <c r="AA50" s="126">
        <f t="shared" si="37"/>
        <v>9</v>
      </c>
      <c r="AB50" s="127">
        <v>26582</v>
      </c>
      <c r="AC50" s="127"/>
      <c r="AD50" s="128">
        <f t="shared" si="38"/>
        <v>26847.82</v>
      </c>
      <c r="AE50" s="129">
        <f t="shared" si="39"/>
        <v>0</v>
      </c>
      <c r="AF50" s="130">
        <f t="shared" si="40"/>
        <v>26847.82</v>
      </c>
      <c r="AG50" s="131">
        <f t="shared" si="41"/>
        <v>27113.64</v>
      </c>
      <c r="AH50" s="132">
        <f t="shared" si="42"/>
        <v>0</v>
      </c>
      <c r="AI50" s="133">
        <f t="shared" si="43"/>
        <v>27113.64</v>
      </c>
      <c r="AJ50" s="134">
        <f t="shared" si="44"/>
        <v>27379.460000000003</v>
      </c>
      <c r="AK50" s="135">
        <f t="shared" si="45"/>
        <v>0</v>
      </c>
      <c r="AL50" s="136">
        <f t="shared" si="46"/>
        <v>27379.460000000003</v>
      </c>
      <c r="AM50" s="137">
        <f t="shared" si="47"/>
        <v>27645.280000000002</v>
      </c>
      <c r="AN50" s="137">
        <f t="shared" si="48"/>
        <v>0</v>
      </c>
      <c r="AO50" s="138">
        <f t="shared" si="49"/>
        <v>27645.280000000002</v>
      </c>
      <c r="AP50" s="139">
        <f t="shared" si="50"/>
        <v>1063.2800000000025</v>
      </c>
      <c r="AQ50" s="140">
        <f t="shared" si="51"/>
        <v>4.0000000000000091E-2</v>
      </c>
      <c r="AR50" s="141">
        <f t="shared" si="52"/>
        <v>2.5905388370220481E-2</v>
      </c>
      <c r="AS50" s="142">
        <f t="shared" si="53"/>
        <v>11</v>
      </c>
      <c r="AT50" s="143" t="str">
        <f t="shared" si="54"/>
        <v/>
      </c>
      <c r="AU50" s="144" t="str">
        <f t="shared" si="55"/>
        <v/>
      </c>
      <c r="AV50" s="261">
        <v>3500</v>
      </c>
      <c r="AW50" s="146" t="str">
        <f t="shared" si="56"/>
        <v/>
      </c>
      <c r="AX50" s="146" t="str">
        <f t="shared" si="57"/>
        <v/>
      </c>
      <c r="AY50" s="146" t="str">
        <f t="shared" si="58"/>
        <v/>
      </c>
      <c r="AZ50" s="146">
        <f t="shared" si="59"/>
        <v>27645.280000000002</v>
      </c>
      <c r="BA50" s="42">
        <v>49</v>
      </c>
    </row>
    <row r="51" spans="1:53" ht="18" customHeight="1" x14ac:dyDescent="0.25">
      <c r="A51" s="104" t="s">
        <v>120</v>
      </c>
      <c r="B51" s="152" t="s">
        <v>121</v>
      </c>
      <c r="C51" s="104">
        <v>1</v>
      </c>
      <c r="D51" s="106" t="s">
        <v>325</v>
      </c>
      <c r="E51" s="107">
        <v>211</v>
      </c>
      <c r="F51" s="107">
        <f t="shared" si="30"/>
        <v>54</v>
      </c>
      <c r="G51" s="108">
        <v>2951</v>
      </c>
      <c r="H51" s="108" t="s">
        <v>313</v>
      </c>
      <c r="I51" s="109">
        <f t="shared" si="31"/>
        <v>4.1927202101616993E-3</v>
      </c>
      <c r="J51" s="110">
        <f>G51*'Target revenue sheet'!$F$19</f>
        <v>1003.34</v>
      </c>
      <c r="K51" s="111">
        <v>708</v>
      </c>
      <c r="L51" s="112">
        <f t="shared" si="32"/>
        <v>2.6159729534999724E-3</v>
      </c>
      <c r="M51" s="113">
        <f>K51*'Target revenue sheet'!$F$20</f>
        <v>630.12</v>
      </c>
      <c r="N51" s="114">
        <v>28729</v>
      </c>
      <c r="O51" s="115">
        <f t="shared" si="33"/>
        <v>7.6702402740344115E-3</v>
      </c>
      <c r="P51" s="116">
        <f>N51*'Target revenue sheet'!$F$21</f>
        <v>2011.0300000000002</v>
      </c>
      <c r="Q51" s="117">
        <v>7485</v>
      </c>
      <c r="R51" s="118">
        <f t="shared" si="34"/>
        <v>1.8178418076900658E-3</v>
      </c>
      <c r="S51" s="119">
        <f>Q51*'Target revenue sheet'!$F$22</f>
        <v>449.09999999999997</v>
      </c>
      <c r="T51" s="120">
        <f>'Target revenue sheet'!$F$2</f>
        <v>1000</v>
      </c>
      <c r="U51" s="121">
        <f>(C51-1)*'Target revenue sheet'!$F$1</f>
        <v>0</v>
      </c>
      <c r="V51" s="122">
        <f t="shared" si="35"/>
        <v>5093.59</v>
      </c>
      <c r="W51" s="123">
        <f>IF(V51&lt;'Target revenue sheet'!$F$3,'Target revenue sheet'!$F$3,V51)</f>
        <v>5093.59</v>
      </c>
      <c r="X51" s="123"/>
      <c r="Y51" s="124">
        <v>1750</v>
      </c>
      <c r="Z51" s="125">
        <f t="shared" si="36"/>
        <v>2.3861304463427438E-3</v>
      </c>
      <c r="AA51" s="126">
        <f t="shared" si="37"/>
        <v>58</v>
      </c>
      <c r="AB51" s="127">
        <v>1900</v>
      </c>
      <c r="AC51" s="127"/>
      <c r="AD51" s="128">
        <f t="shared" si="38"/>
        <v>2698.3975</v>
      </c>
      <c r="AE51" s="129">
        <f t="shared" si="39"/>
        <v>0</v>
      </c>
      <c r="AF51" s="130">
        <f t="shared" si="40"/>
        <v>2698.3975</v>
      </c>
      <c r="AG51" s="131">
        <f t="shared" si="41"/>
        <v>3496.7950000000001</v>
      </c>
      <c r="AH51" s="132">
        <f t="shared" si="42"/>
        <v>0</v>
      </c>
      <c r="AI51" s="133">
        <f t="shared" si="43"/>
        <v>3496.7950000000001</v>
      </c>
      <c r="AJ51" s="134">
        <f t="shared" si="44"/>
        <v>4295.1925000000001</v>
      </c>
      <c r="AK51" s="135">
        <f t="shared" si="45"/>
        <v>0</v>
      </c>
      <c r="AL51" s="136">
        <f t="shared" si="46"/>
        <v>4295.1925000000001</v>
      </c>
      <c r="AM51" s="137">
        <f t="shared" si="47"/>
        <v>5093.59</v>
      </c>
      <c r="AN51" s="137">
        <f t="shared" si="48"/>
        <v>0</v>
      </c>
      <c r="AO51" s="138">
        <f t="shared" si="49"/>
        <v>5093.59</v>
      </c>
      <c r="AP51" s="139">
        <f t="shared" si="50"/>
        <v>3193.59</v>
      </c>
      <c r="AQ51" s="140">
        <f t="shared" si="51"/>
        <v>1.6808368421052633</v>
      </c>
      <c r="AR51" s="141">
        <f t="shared" si="52"/>
        <v>4.7730182927672041E-3</v>
      </c>
      <c r="AS51" s="142">
        <f t="shared" si="53"/>
        <v>52</v>
      </c>
      <c r="AT51" s="143">
        <f t="shared" si="54"/>
        <v>3193.59</v>
      </c>
      <c r="AU51" s="144" t="str">
        <f t="shared" si="55"/>
        <v/>
      </c>
      <c r="AV51" s="260">
        <v>1750</v>
      </c>
      <c r="AW51" s="146" t="str">
        <f t="shared" si="56"/>
        <v/>
      </c>
      <c r="AX51" s="146">
        <f t="shared" si="57"/>
        <v>5093.59</v>
      </c>
      <c r="AY51" s="146" t="str">
        <f t="shared" si="58"/>
        <v/>
      </c>
      <c r="AZ51" s="146" t="str">
        <f t="shared" si="59"/>
        <v/>
      </c>
      <c r="BA51" s="42">
        <v>50</v>
      </c>
    </row>
    <row r="52" spans="1:53" ht="18" customHeight="1" x14ac:dyDescent="0.25">
      <c r="A52" s="104" t="s">
        <v>122</v>
      </c>
      <c r="B52" s="105" t="s">
        <v>123</v>
      </c>
      <c r="C52" s="104">
        <v>1</v>
      </c>
      <c r="D52" s="106" t="s">
        <v>325</v>
      </c>
      <c r="E52" s="107">
        <v>55</v>
      </c>
      <c r="F52" s="107">
        <f t="shared" si="30"/>
        <v>13</v>
      </c>
      <c r="G52" s="108">
        <v>13746</v>
      </c>
      <c r="H52" s="108" t="s">
        <v>314</v>
      </c>
      <c r="I52" s="109">
        <f t="shared" si="31"/>
        <v>1.9530034567564459E-2</v>
      </c>
      <c r="J52" s="110">
        <f>G52*'Target revenue sheet'!$F$19</f>
        <v>4673.6400000000003</v>
      </c>
      <c r="K52" s="111">
        <v>3957</v>
      </c>
      <c r="L52" s="112">
        <f t="shared" si="32"/>
        <v>1.462062849858671E-2</v>
      </c>
      <c r="M52" s="113">
        <f>K52*'Target revenue sheet'!$F$20</f>
        <v>3521.73</v>
      </c>
      <c r="N52" s="114">
        <v>82172</v>
      </c>
      <c r="O52" s="115">
        <f t="shared" si="33"/>
        <v>2.1938772104770639E-2</v>
      </c>
      <c r="P52" s="116">
        <f>N52*'Target revenue sheet'!$F$21</f>
        <v>5752.0400000000009</v>
      </c>
      <c r="Q52" s="117">
        <v>63462</v>
      </c>
      <c r="R52" s="118">
        <f t="shared" si="34"/>
        <v>1.5412675591132526E-2</v>
      </c>
      <c r="S52" s="119">
        <f>Q52*'Target revenue sheet'!$F$22</f>
        <v>3807.72</v>
      </c>
      <c r="T52" s="120">
        <f>'Target revenue sheet'!$F$2</f>
        <v>1000</v>
      </c>
      <c r="U52" s="121">
        <f>(C52-1)*'Target revenue sheet'!$F$1</f>
        <v>0</v>
      </c>
      <c r="V52" s="122">
        <f t="shared" si="35"/>
        <v>18755.13</v>
      </c>
      <c r="W52" s="123">
        <f>IF(V52&lt;'Target revenue sheet'!$F$3,'Target revenue sheet'!$F$3,V52)</f>
        <v>18755.13</v>
      </c>
      <c r="X52" s="123">
        <v>1.04</v>
      </c>
      <c r="Y52" s="124">
        <v>25808</v>
      </c>
      <c r="Z52" s="125">
        <f t="shared" si="36"/>
        <v>3.5189288319550587E-2</v>
      </c>
      <c r="AA52" s="126">
        <f t="shared" si="37"/>
        <v>9</v>
      </c>
      <c r="AB52" s="127">
        <v>26582</v>
      </c>
      <c r="AC52" s="127"/>
      <c r="AD52" s="128">
        <f t="shared" si="38"/>
        <v>26847.82</v>
      </c>
      <c r="AE52" s="129">
        <f t="shared" si="39"/>
        <v>0</v>
      </c>
      <c r="AF52" s="130">
        <f t="shared" si="40"/>
        <v>26847.82</v>
      </c>
      <c r="AG52" s="131">
        <f t="shared" si="41"/>
        <v>27113.64</v>
      </c>
      <c r="AH52" s="132">
        <f t="shared" si="42"/>
        <v>0</v>
      </c>
      <c r="AI52" s="133">
        <f t="shared" si="43"/>
        <v>27113.64</v>
      </c>
      <c r="AJ52" s="134">
        <f t="shared" si="44"/>
        <v>27379.460000000003</v>
      </c>
      <c r="AK52" s="135">
        <f t="shared" si="45"/>
        <v>0</v>
      </c>
      <c r="AL52" s="136">
        <f t="shared" si="46"/>
        <v>27379.460000000003</v>
      </c>
      <c r="AM52" s="137">
        <f t="shared" si="47"/>
        <v>27645.280000000002</v>
      </c>
      <c r="AN52" s="137">
        <f t="shared" si="48"/>
        <v>0</v>
      </c>
      <c r="AO52" s="138">
        <f t="shared" si="49"/>
        <v>27645.280000000002</v>
      </c>
      <c r="AP52" s="139">
        <f t="shared" si="50"/>
        <v>1063.2800000000025</v>
      </c>
      <c r="AQ52" s="140">
        <f t="shared" si="51"/>
        <v>4.0000000000000091E-2</v>
      </c>
      <c r="AR52" s="141">
        <f t="shared" si="52"/>
        <v>2.5905388370220481E-2</v>
      </c>
      <c r="AS52" s="142">
        <f t="shared" si="53"/>
        <v>11</v>
      </c>
      <c r="AT52" s="143" t="str">
        <f t="shared" si="54"/>
        <v/>
      </c>
      <c r="AU52" s="144" t="str">
        <f t="shared" si="55"/>
        <v/>
      </c>
      <c r="AV52" s="261">
        <v>2625</v>
      </c>
      <c r="AW52" s="146" t="str">
        <f t="shared" si="56"/>
        <v/>
      </c>
      <c r="AX52" s="146" t="str">
        <f t="shared" si="57"/>
        <v/>
      </c>
      <c r="AY52" s="146" t="str">
        <f t="shared" si="58"/>
        <v/>
      </c>
      <c r="AZ52" s="146">
        <f t="shared" si="59"/>
        <v>27645.280000000002</v>
      </c>
      <c r="BA52" s="42">
        <v>51</v>
      </c>
    </row>
    <row r="53" spans="1:53" ht="18" customHeight="1" x14ac:dyDescent="0.25">
      <c r="A53" s="153" t="s">
        <v>124</v>
      </c>
      <c r="B53" s="149" t="s">
        <v>125</v>
      </c>
      <c r="C53" s="153">
        <v>1</v>
      </c>
      <c r="D53" s="150" t="s">
        <v>323</v>
      </c>
      <c r="E53" s="107">
        <v>229</v>
      </c>
      <c r="F53" s="107">
        <f t="shared" si="30"/>
        <v>58</v>
      </c>
      <c r="G53" s="108">
        <v>2901</v>
      </c>
      <c r="H53" s="108" t="s">
        <v>313</v>
      </c>
      <c r="I53" s="109">
        <f t="shared" si="31"/>
        <v>4.121681236760111E-3</v>
      </c>
      <c r="J53" s="110">
        <f>G53*'Target revenue sheet'!$F$19</f>
        <v>986.34</v>
      </c>
      <c r="K53" s="111">
        <v>806</v>
      </c>
      <c r="L53" s="112">
        <f t="shared" si="32"/>
        <v>2.9780709046906464E-3</v>
      </c>
      <c r="M53" s="113">
        <f>K53*'Target revenue sheet'!$F$20</f>
        <v>717.34</v>
      </c>
      <c r="N53" s="114">
        <v>19751</v>
      </c>
      <c r="O53" s="115">
        <f t="shared" si="33"/>
        <v>5.2732401285270521E-3</v>
      </c>
      <c r="P53" s="116">
        <f>N53*'Target revenue sheet'!$F$21</f>
        <v>1382.5700000000002</v>
      </c>
      <c r="Q53" s="117">
        <v>8593</v>
      </c>
      <c r="R53" s="118">
        <f t="shared" si="34"/>
        <v>2.086935825448328E-3</v>
      </c>
      <c r="S53" s="119">
        <f>Q53*'Target revenue sheet'!$F$22</f>
        <v>515.57999999999993</v>
      </c>
      <c r="T53" s="120">
        <f>'Target revenue sheet'!$F$2</f>
        <v>1000</v>
      </c>
      <c r="U53" s="121">
        <f>(C53-1)*'Target revenue sheet'!$F$1</f>
        <v>0</v>
      </c>
      <c r="V53" s="122">
        <f t="shared" si="35"/>
        <v>4601.83</v>
      </c>
      <c r="W53" s="123">
        <f>IF(V53&lt;'Target revenue sheet'!$F$3,'Target revenue sheet'!$F$3,V53)</f>
        <v>4601.83</v>
      </c>
      <c r="X53" s="123"/>
      <c r="Y53" s="124">
        <v>1925</v>
      </c>
      <c r="Z53" s="125">
        <f t="shared" si="36"/>
        <v>2.6247434909770183E-3</v>
      </c>
      <c r="AA53" s="126">
        <f t="shared" si="37"/>
        <v>48</v>
      </c>
      <c r="AB53" s="151">
        <v>1900</v>
      </c>
      <c r="AC53" s="127">
        <v>2090</v>
      </c>
      <c r="AD53" s="128">
        <f t="shared" si="38"/>
        <v>2575.4575</v>
      </c>
      <c r="AE53" s="129">
        <f t="shared" si="39"/>
        <v>257.54575</v>
      </c>
      <c r="AF53" s="130">
        <f t="shared" si="40"/>
        <v>2833.0032499999998</v>
      </c>
      <c r="AG53" s="131">
        <f t="shared" si="41"/>
        <v>3250.915</v>
      </c>
      <c r="AH53" s="132">
        <f t="shared" si="42"/>
        <v>325.0915</v>
      </c>
      <c r="AI53" s="133">
        <f t="shared" si="43"/>
        <v>3576.0065</v>
      </c>
      <c r="AJ53" s="134">
        <f t="shared" si="44"/>
        <v>3926.3724999999999</v>
      </c>
      <c r="AK53" s="135">
        <f t="shared" si="45"/>
        <v>392.63724999999999</v>
      </c>
      <c r="AL53" s="136">
        <f t="shared" si="46"/>
        <v>4319.0097500000002</v>
      </c>
      <c r="AM53" s="137">
        <f t="shared" si="47"/>
        <v>4601.83</v>
      </c>
      <c r="AN53" s="137">
        <f t="shared" si="48"/>
        <v>460.18299999999999</v>
      </c>
      <c r="AO53" s="138">
        <f t="shared" si="49"/>
        <v>5062.0129999999999</v>
      </c>
      <c r="AP53" s="139">
        <f t="shared" si="50"/>
        <v>2701.83</v>
      </c>
      <c r="AQ53" s="140">
        <f t="shared" si="51"/>
        <v>1.4220157894736842</v>
      </c>
      <c r="AR53" s="141">
        <f t="shared" si="52"/>
        <v>4.7434286323055829E-3</v>
      </c>
      <c r="AS53" s="142">
        <f t="shared" si="53"/>
        <v>59</v>
      </c>
      <c r="AT53" s="143">
        <f t="shared" si="54"/>
        <v>2701.83</v>
      </c>
      <c r="AU53" s="144" t="str">
        <f t="shared" si="55"/>
        <v/>
      </c>
      <c r="AV53" s="260">
        <v>3500</v>
      </c>
      <c r="AW53" s="146" t="str">
        <f t="shared" si="56"/>
        <v/>
      </c>
      <c r="AX53" s="146">
        <f t="shared" si="57"/>
        <v>4601.83</v>
      </c>
      <c r="AY53" s="146" t="str">
        <f t="shared" si="58"/>
        <v/>
      </c>
      <c r="AZ53" s="146" t="str">
        <f t="shared" si="59"/>
        <v/>
      </c>
      <c r="BA53" s="42">
        <v>52</v>
      </c>
    </row>
    <row r="54" spans="1:53" ht="18" customHeight="1" x14ac:dyDescent="0.25">
      <c r="A54" s="147" t="s">
        <v>128</v>
      </c>
      <c r="B54" s="105" t="s">
        <v>129</v>
      </c>
      <c r="C54" s="147">
        <v>1</v>
      </c>
      <c r="D54" s="106" t="s">
        <v>325</v>
      </c>
      <c r="E54" s="107">
        <v>269</v>
      </c>
      <c r="F54" s="107">
        <f t="shared" si="30"/>
        <v>69</v>
      </c>
      <c r="G54" s="108">
        <v>1792</v>
      </c>
      <c r="H54" s="108" t="s">
        <v>311</v>
      </c>
      <c r="I54" s="109">
        <f t="shared" si="31"/>
        <v>2.546036806712899E-3</v>
      </c>
      <c r="J54" s="110">
        <f>G54*'Target revenue sheet'!$F$19</f>
        <v>609.28000000000009</v>
      </c>
      <c r="K54" s="111">
        <v>668</v>
      </c>
      <c r="L54" s="112">
        <f t="shared" si="32"/>
        <v>2.4681778713813297E-3</v>
      </c>
      <c r="M54" s="113">
        <f>K54*'Target revenue sheet'!$F$20</f>
        <v>594.52</v>
      </c>
      <c r="N54" s="114">
        <v>21131</v>
      </c>
      <c r="O54" s="115">
        <f t="shared" si="33"/>
        <v>5.6416807835504594E-3</v>
      </c>
      <c r="P54" s="116">
        <f>N54*'Target revenue sheet'!$F$21</f>
        <v>1479.17</v>
      </c>
      <c r="Q54" s="117">
        <v>6032</v>
      </c>
      <c r="R54" s="118">
        <f t="shared" si="34"/>
        <v>1.464959490178554E-3</v>
      </c>
      <c r="S54" s="119">
        <f>Q54*'Target revenue sheet'!$F$22</f>
        <v>361.91999999999996</v>
      </c>
      <c r="T54" s="120">
        <f>'Target revenue sheet'!$F$2</f>
        <v>1000</v>
      </c>
      <c r="U54" s="121">
        <f>(C54-1)*'Target revenue sheet'!$F$1</f>
        <v>0</v>
      </c>
      <c r="V54" s="122">
        <f t="shared" si="35"/>
        <v>4044.8900000000003</v>
      </c>
      <c r="W54" s="123">
        <f>IF(V54&lt;'Target revenue sheet'!$F$3,'Target revenue sheet'!$F$3,V54)</f>
        <v>4044.8900000000003</v>
      </c>
      <c r="X54" s="123"/>
      <c r="Y54" s="124">
        <v>2930</v>
      </c>
      <c r="Z54" s="125">
        <f t="shared" si="36"/>
        <v>3.9950641187338513E-3</v>
      </c>
      <c r="AA54" s="126">
        <f t="shared" si="37"/>
        <v>29</v>
      </c>
      <c r="AB54" s="127">
        <v>3080</v>
      </c>
      <c r="AC54" s="127"/>
      <c r="AD54" s="128">
        <f t="shared" si="38"/>
        <v>3321.2224999999999</v>
      </c>
      <c r="AE54" s="129">
        <f t="shared" si="39"/>
        <v>0</v>
      </c>
      <c r="AF54" s="130">
        <f t="shared" si="40"/>
        <v>3321.2224999999999</v>
      </c>
      <c r="AG54" s="131">
        <f t="shared" si="41"/>
        <v>3562.4450000000002</v>
      </c>
      <c r="AH54" s="132">
        <f t="shared" si="42"/>
        <v>0</v>
      </c>
      <c r="AI54" s="133">
        <f t="shared" si="43"/>
        <v>3562.4450000000002</v>
      </c>
      <c r="AJ54" s="134">
        <f t="shared" si="44"/>
        <v>3803.6675000000005</v>
      </c>
      <c r="AK54" s="135">
        <f t="shared" si="45"/>
        <v>0</v>
      </c>
      <c r="AL54" s="136">
        <f t="shared" si="46"/>
        <v>3803.6675000000005</v>
      </c>
      <c r="AM54" s="137">
        <f t="shared" si="47"/>
        <v>4044.8900000000003</v>
      </c>
      <c r="AN54" s="137">
        <f t="shared" si="48"/>
        <v>0</v>
      </c>
      <c r="AO54" s="138">
        <f t="shared" si="49"/>
        <v>4044.8900000000003</v>
      </c>
      <c r="AP54" s="139">
        <f t="shared" si="50"/>
        <v>964.89000000000033</v>
      </c>
      <c r="AQ54" s="140">
        <f t="shared" si="51"/>
        <v>0.31327597402597412</v>
      </c>
      <c r="AR54" s="141">
        <f t="shared" si="52"/>
        <v>3.7903195903539817E-3</v>
      </c>
      <c r="AS54" s="142">
        <f t="shared" si="53"/>
        <v>64</v>
      </c>
      <c r="AT54" s="143" t="str">
        <f t="shared" si="54"/>
        <v/>
      </c>
      <c r="AU54" s="144" t="str">
        <f t="shared" si="55"/>
        <v/>
      </c>
      <c r="AV54" s="261">
        <v>3500</v>
      </c>
      <c r="AW54" s="146">
        <f t="shared" si="56"/>
        <v>4044.8900000000003</v>
      </c>
      <c r="AX54" s="146" t="str">
        <f t="shared" si="57"/>
        <v/>
      </c>
      <c r="AY54" s="146" t="str">
        <f t="shared" si="58"/>
        <v/>
      </c>
      <c r="AZ54" s="146" t="str">
        <f t="shared" si="59"/>
        <v/>
      </c>
      <c r="BA54" s="42">
        <v>54</v>
      </c>
    </row>
    <row r="55" spans="1:53" ht="18" customHeight="1" x14ac:dyDescent="0.25">
      <c r="A55" s="104" t="s">
        <v>126</v>
      </c>
      <c r="B55" s="152" t="s">
        <v>127</v>
      </c>
      <c r="C55" s="104">
        <v>1</v>
      </c>
      <c r="D55" s="106" t="s">
        <v>325</v>
      </c>
      <c r="E55" s="107">
        <v>263</v>
      </c>
      <c r="F55" s="107">
        <f t="shared" si="30"/>
        <v>65</v>
      </c>
      <c r="G55" s="108">
        <v>1878</v>
      </c>
      <c r="H55" s="108" t="s">
        <v>311</v>
      </c>
      <c r="I55" s="109">
        <f t="shared" si="31"/>
        <v>2.6682238409636294E-3</v>
      </c>
      <c r="J55" s="110">
        <f>G55*'Target revenue sheet'!$F$19</f>
        <v>638.5200000000001</v>
      </c>
      <c r="K55" s="111">
        <v>505</v>
      </c>
      <c r="L55" s="112">
        <f t="shared" si="32"/>
        <v>1.8659129117478616E-3</v>
      </c>
      <c r="M55" s="113">
        <f>K55*'Target revenue sheet'!$F$20</f>
        <v>449.45</v>
      </c>
      <c r="N55" s="114">
        <v>15917</v>
      </c>
      <c r="O55" s="115">
        <f t="shared" si="33"/>
        <v>4.24961587391854E-3</v>
      </c>
      <c r="P55" s="116">
        <f>N55*'Target revenue sheet'!$F$21</f>
        <v>1114.19</v>
      </c>
      <c r="Q55" s="117">
        <v>11490</v>
      </c>
      <c r="R55" s="118">
        <f t="shared" si="34"/>
        <v>2.7905146787386582E-3</v>
      </c>
      <c r="S55" s="119">
        <f>Q55*'Target revenue sheet'!$F$22</f>
        <v>689.4</v>
      </c>
      <c r="T55" s="120">
        <f>'Target revenue sheet'!$F$2</f>
        <v>1000</v>
      </c>
      <c r="U55" s="121">
        <f>(C55-1)*'Target revenue sheet'!$F$1</f>
        <v>0</v>
      </c>
      <c r="V55" s="122">
        <f t="shared" si="35"/>
        <v>3891.56</v>
      </c>
      <c r="W55" s="123">
        <f>IF(V55&lt;'Target revenue sheet'!$F$3,'Target revenue sheet'!$F$3,V55)</f>
        <v>3891.56</v>
      </c>
      <c r="X55" s="123"/>
      <c r="Y55" s="124">
        <v>1750</v>
      </c>
      <c r="Z55" s="125">
        <f t="shared" si="36"/>
        <v>2.3861304463427438E-3</v>
      </c>
      <c r="AA55" s="126">
        <f t="shared" si="37"/>
        <v>58</v>
      </c>
      <c r="AB55" s="127">
        <v>1900</v>
      </c>
      <c r="AC55" s="127"/>
      <c r="AD55" s="128">
        <f t="shared" si="38"/>
        <v>2397.89</v>
      </c>
      <c r="AE55" s="129">
        <f t="shared" si="39"/>
        <v>0</v>
      </c>
      <c r="AF55" s="130">
        <f t="shared" si="40"/>
        <v>2397.89</v>
      </c>
      <c r="AG55" s="131">
        <f t="shared" si="41"/>
        <v>2895.7799999999997</v>
      </c>
      <c r="AH55" s="132">
        <f t="shared" si="42"/>
        <v>0</v>
      </c>
      <c r="AI55" s="133">
        <f t="shared" si="43"/>
        <v>2895.7799999999997</v>
      </c>
      <c r="AJ55" s="134">
        <f t="shared" si="44"/>
        <v>3393.67</v>
      </c>
      <c r="AK55" s="135">
        <f t="shared" si="45"/>
        <v>0</v>
      </c>
      <c r="AL55" s="136">
        <f t="shared" si="46"/>
        <v>3393.67</v>
      </c>
      <c r="AM55" s="137">
        <f t="shared" si="47"/>
        <v>3891.56</v>
      </c>
      <c r="AN55" s="137">
        <f t="shared" si="48"/>
        <v>0</v>
      </c>
      <c r="AO55" s="138">
        <f t="shared" si="49"/>
        <v>3891.56</v>
      </c>
      <c r="AP55" s="139">
        <f t="shared" si="50"/>
        <v>1991.56</v>
      </c>
      <c r="AQ55" s="140">
        <f t="shared" si="51"/>
        <v>1.0481894736842106</v>
      </c>
      <c r="AR55" s="141">
        <f t="shared" si="52"/>
        <v>3.6466396132003439E-3</v>
      </c>
      <c r="AS55" s="142">
        <f t="shared" si="53"/>
        <v>70</v>
      </c>
      <c r="AT55" s="143">
        <f t="shared" si="54"/>
        <v>1991.56</v>
      </c>
      <c r="AU55" s="144" t="str">
        <f t="shared" si="55"/>
        <v/>
      </c>
      <c r="AV55" s="260">
        <v>2625</v>
      </c>
      <c r="AW55" s="146">
        <f t="shared" si="56"/>
        <v>3891.56</v>
      </c>
      <c r="AX55" s="146" t="str">
        <f t="shared" si="57"/>
        <v/>
      </c>
      <c r="AY55" s="146" t="str">
        <f t="shared" si="58"/>
        <v/>
      </c>
      <c r="AZ55" s="146" t="str">
        <f t="shared" si="59"/>
        <v/>
      </c>
      <c r="BA55" s="42">
        <v>53</v>
      </c>
    </row>
    <row r="56" spans="1:53" ht="18" customHeight="1" x14ac:dyDescent="0.25">
      <c r="A56" s="147" t="s">
        <v>132</v>
      </c>
      <c r="B56" s="105" t="s">
        <v>133</v>
      </c>
      <c r="C56" s="147">
        <v>1</v>
      </c>
      <c r="D56" s="106" t="s">
        <v>325</v>
      </c>
      <c r="E56" s="107">
        <v>126</v>
      </c>
      <c r="F56" s="107">
        <f t="shared" si="30"/>
        <v>29</v>
      </c>
      <c r="G56" s="108">
        <v>3840</v>
      </c>
      <c r="H56" s="108" t="s">
        <v>313</v>
      </c>
      <c r="I56" s="109">
        <f t="shared" si="31"/>
        <v>5.4557931572419257E-3</v>
      </c>
      <c r="J56" s="110">
        <f>G56*'Target revenue sheet'!$F$19</f>
        <v>1305.6000000000001</v>
      </c>
      <c r="K56" s="111">
        <v>1727</v>
      </c>
      <c r="L56" s="112">
        <f t="shared" si="32"/>
        <v>6.3810526704723902E-3</v>
      </c>
      <c r="M56" s="113">
        <f>K56*'Target revenue sheet'!$F$20</f>
        <v>1537.03</v>
      </c>
      <c r="N56" s="114">
        <v>34222</v>
      </c>
      <c r="O56" s="115">
        <f t="shared" si="33"/>
        <v>9.1367942726167158E-3</v>
      </c>
      <c r="P56" s="116">
        <f>N56*'Target revenue sheet'!$F$21</f>
        <v>2395.5400000000004</v>
      </c>
      <c r="Q56" s="117">
        <v>28932</v>
      </c>
      <c r="R56" s="118">
        <f t="shared" si="34"/>
        <v>7.0265596766985955E-3</v>
      </c>
      <c r="S56" s="119">
        <f>Q56*'Target revenue sheet'!$F$22</f>
        <v>1735.9199999999998</v>
      </c>
      <c r="T56" s="120">
        <f>'Target revenue sheet'!$F$2</f>
        <v>1000</v>
      </c>
      <c r="U56" s="121">
        <f>(C56-1)*'Target revenue sheet'!$F$1</f>
        <v>0</v>
      </c>
      <c r="V56" s="122">
        <f t="shared" si="35"/>
        <v>7974.09</v>
      </c>
      <c r="W56" s="123">
        <f>IF(V56&lt;'Target revenue sheet'!$F$3,'Target revenue sheet'!$F$3,V56)</f>
        <v>7974.09</v>
      </c>
      <c r="X56" s="123"/>
      <c r="Y56" s="124">
        <v>5286</v>
      </c>
      <c r="Z56" s="125">
        <f t="shared" si="36"/>
        <v>7.2074774510672819E-3</v>
      </c>
      <c r="AA56" s="126">
        <f t="shared" si="37"/>
        <v>21</v>
      </c>
      <c r="AB56" s="127">
        <v>5445</v>
      </c>
      <c r="AC56" s="127"/>
      <c r="AD56" s="128">
        <f t="shared" si="38"/>
        <v>6077.2725</v>
      </c>
      <c r="AE56" s="129">
        <f t="shared" si="39"/>
        <v>0</v>
      </c>
      <c r="AF56" s="130">
        <f t="shared" si="40"/>
        <v>6077.2725</v>
      </c>
      <c r="AG56" s="131">
        <f t="shared" si="41"/>
        <v>6709.5450000000001</v>
      </c>
      <c r="AH56" s="132">
        <f t="shared" si="42"/>
        <v>0</v>
      </c>
      <c r="AI56" s="133">
        <f t="shared" si="43"/>
        <v>6709.5450000000001</v>
      </c>
      <c r="AJ56" s="134">
        <f t="shared" si="44"/>
        <v>7341.8175000000001</v>
      </c>
      <c r="AK56" s="135">
        <f t="shared" si="45"/>
        <v>0</v>
      </c>
      <c r="AL56" s="136">
        <f t="shared" si="46"/>
        <v>7341.8175000000001</v>
      </c>
      <c r="AM56" s="137">
        <f t="shared" si="47"/>
        <v>7974.09</v>
      </c>
      <c r="AN56" s="137">
        <f t="shared" si="48"/>
        <v>0</v>
      </c>
      <c r="AO56" s="138">
        <f t="shared" si="49"/>
        <v>7974.09</v>
      </c>
      <c r="AP56" s="139">
        <f t="shared" si="50"/>
        <v>2529.09</v>
      </c>
      <c r="AQ56" s="140">
        <f t="shared" si="51"/>
        <v>0.46447933884297521</v>
      </c>
      <c r="AR56" s="141">
        <f t="shared" si="52"/>
        <v>7.4722302812303375E-3</v>
      </c>
      <c r="AS56" s="142">
        <f t="shared" si="53"/>
        <v>32</v>
      </c>
      <c r="AT56" s="143" t="str">
        <f t="shared" si="54"/>
        <v/>
      </c>
      <c r="AU56" s="144" t="str">
        <f t="shared" si="55"/>
        <v/>
      </c>
      <c r="AV56" s="260">
        <v>875</v>
      </c>
      <c r="AW56" s="146" t="str">
        <f t="shared" si="56"/>
        <v/>
      </c>
      <c r="AX56" s="146">
        <f t="shared" si="57"/>
        <v>7974.09</v>
      </c>
      <c r="AY56" s="146" t="str">
        <f t="shared" si="58"/>
        <v/>
      </c>
      <c r="AZ56" s="146" t="str">
        <f t="shared" si="59"/>
        <v/>
      </c>
      <c r="BA56" s="42">
        <v>56</v>
      </c>
    </row>
    <row r="57" spans="1:53" ht="18" customHeight="1" x14ac:dyDescent="0.25">
      <c r="A57" s="104" t="s">
        <v>130</v>
      </c>
      <c r="B57" s="152" t="s">
        <v>131</v>
      </c>
      <c r="C57" s="104">
        <v>1</v>
      </c>
      <c r="D57" s="106" t="s">
        <v>325</v>
      </c>
      <c r="E57" s="107">
        <v>200</v>
      </c>
      <c r="F57" s="107">
        <f t="shared" si="30"/>
        <v>50</v>
      </c>
      <c r="G57" s="108">
        <v>2889</v>
      </c>
      <c r="H57" s="108" t="s">
        <v>313</v>
      </c>
      <c r="I57" s="109">
        <f t="shared" si="31"/>
        <v>4.1046318831437301E-3</v>
      </c>
      <c r="J57" s="110">
        <f>G57*'Target revenue sheet'!$F$19</f>
        <v>982.2600000000001</v>
      </c>
      <c r="K57" s="111">
        <v>1443</v>
      </c>
      <c r="L57" s="112">
        <f t="shared" si="32"/>
        <v>5.331707587430028E-3</v>
      </c>
      <c r="M57" s="113">
        <f>K57*'Target revenue sheet'!$F$20</f>
        <v>1284.27</v>
      </c>
      <c r="N57" s="114">
        <v>15024</v>
      </c>
      <c r="O57" s="115">
        <f t="shared" si="33"/>
        <v>4.0111973920809287E-3</v>
      </c>
      <c r="P57" s="116">
        <f>N57*'Target revenue sheet'!$F$21</f>
        <v>1051.68</v>
      </c>
      <c r="Q57" s="117">
        <v>16520</v>
      </c>
      <c r="R57" s="118">
        <f t="shared" si="34"/>
        <v>4.0121238026773398E-3</v>
      </c>
      <c r="S57" s="119">
        <f>Q57*'Target revenue sheet'!$F$22</f>
        <v>991.19999999999993</v>
      </c>
      <c r="T57" s="120">
        <f>'Target revenue sheet'!$F$2</f>
        <v>1000</v>
      </c>
      <c r="U57" s="121">
        <f>(C57-1)*'Target revenue sheet'!$F$1</f>
        <v>0</v>
      </c>
      <c r="V57" s="122">
        <f t="shared" si="35"/>
        <v>5309.41</v>
      </c>
      <c r="W57" s="123">
        <f>IF(V57&lt;'Target revenue sheet'!$F$3,'Target revenue sheet'!$F$3,V57)</f>
        <v>5309.41</v>
      </c>
      <c r="X57" s="123"/>
      <c r="Y57" s="124">
        <v>1750</v>
      </c>
      <c r="Z57" s="125">
        <f t="shared" si="36"/>
        <v>2.3861304463427438E-3</v>
      </c>
      <c r="AA57" s="126">
        <f t="shared" si="37"/>
        <v>58</v>
      </c>
      <c r="AB57" s="127">
        <v>1900</v>
      </c>
      <c r="AC57" s="127"/>
      <c r="AD57" s="128">
        <f t="shared" si="38"/>
        <v>2752.3525</v>
      </c>
      <c r="AE57" s="129">
        <f t="shared" si="39"/>
        <v>0</v>
      </c>
      <c r="AF57" s="130">
        <f t="shared" si="40"/>
        <v>2752.3525</v>
      </c>
      <c r="AG57" s="131">
        <f t="shared" si="41"/>
        <v>3604.7049999999999</v>
      </c>
      <c r="AH57" s="132">
        <f t="shared" si="42"/>
        <v>0</v>
      </c>
      <c r="AI57" s="133">
        <f t="shared" si="43"/>
        <v>3604.7049999999999</v>
      </c>
      <c r="AJ57" s="134">
        <f t="shared" si="44"/>
        <v>4457.0574999999999</v>
      </c>
      <c r="AK57" s="135">
        <f t="shared" si="45"/>
        <v>0</v>
      </c>
      <c r="AL57" s="136">
        <f t="shared" si="46"/>
        <v>4457.0574999999999</v>
      </c>
      <c r="AM57" s="137">
        <f t="shared" si="47"/>
        <v>5309.41</v>
      </c>
      <c r="AN57" s="137">
        <f t="shared" si="48"/>
        <v>0</v>
      </c>
      <c r="AO57" s="138">
        <f t="shared" si="49"/>
        <v>5309.41</v>
      </c>
      <c r="AP57" s="139">
        <f t="shared" si="50"/>
        <v>3409.41</v>
      </c>
      <c r="AQ57" s="140">
        <f t="shared" si="51"/>
        <v>1.7944263157894735</v>
      </c>
      <c r="AR57" s="141">
        <f t="shared" si="52"/>
        <v>4.9752553805471429E-3</v>
      </c>
      <c r="AS57" s="142">
        <f t="shared" si="53"/>
        <v>50</v>
      </c>
      <c r="AT57" s="143">
        <f t="shared" si="54"/>
        <v>3409.41</v>
      </c>
      <c r="AU57" s="144" t="str">
        <f t="shared" si="55"/>
        <v/>
      </c>
      <c r="AV57" s="260">
        <v>875</v>
      </c>
      <c r="AW57" s="146" t="str">
        <f t="shared" si="56"/>
        <v/>
      </c>
      <c r="AX57" s="146">
        <f t="shared" si="57"/>
        <v>5309.41</v>
      </c>
      <c r="AY57" s="146" t="str">
        <f t="shared" si="58"/>
        <v/>
      </c>
      <c r="AZ57" s="146" t="str">
        <f t="shared" si="59"/>
        <v/>
      </c>
      <c r="BA57" s="42">
        <v>55</v>
      </c>
    </row>
    <row r="58" spans="1:53" ht="18" customHeight="1" x14ac:dyDescent="0.25">
      <c r="A58" s="147" t="s">
        <v>136</v>
      </c>
      <c r="B58" s="105" t="s">
        <v>137</v>
      </c>
      <c r="C58" s="147">
        <v>1</v>
      </c>
      <c r="D58" s="106" t="s">
        <v>325</v>
      </c>
      <c r="E58" s="107">
        <v>58</v>
      </c>
      <c r="F58" s="107">
        <f t="shared" si="30"/>
        <v>14</v>
      </c>
      <c r="G58" s="108">
        <v>15051</v>
      </c>
      <c r="H58" s="108" t="s">
        <v>314</v>
      </c>
      <c r="I58" s="109">
        <f t="shared" si="31"/>
        <v>2.1384151773345891E-2</v>
      </c>
      <c r="J58" s="110">
        <f>G58*'Target revenue sheet'!$F$19</f>
        <v>5117.34</v>
      </c>
      <c r="K58" s="111">
        <v>6684</v>
      </c>
      <c r="L58" s="112">
        <f t="shared" si="32"/>
        <v>2.4696558222025163E-2</v>
      </c>
      <c r="M58" s="113">
        <f>K58*'Target revenue sheet'!$F$20</f>
        <v>5948.76</v>
      </c>
      <c r="N58" s="114">
        <v>58146</v>
      </c>
      <c r="O58" s="115">
        <f t="shared" si="33"/>
        <v>1.5524166903616726E-2</v>
      </c>
      <c r="P58" s="116">
        <f>N58*'Target revenue sheet'!$F$21</f>
        <v>4070.2200000000003</v>
      </c>
      <c r="Q58" s="117">
        <v>42148</v>
      </c>
      <c r="R58" s="118">
        <f t="shared" si="34"/>
        <v>1.0236258718840468E-2</v>
      </c>
      <c r="S58" s="119">
        <f>Q58*'Target revenue sheet'!$F$22</f>
        <v>2528.88</v>
      </c>
      <c r="T58" s="120">
        <f>'Target revenue sheet'!$F$2</f>
        <v>1000</v>
      </c>
      <c r="U58" s="121">
        <f>(C58-1)*'Target revenue sheet'!$F$1</f>
        <v>0</v>
      </c>
      <c r="V58" s="122">
        <f t="shared" si="35"/>
        <v>18665.2</v>
      </c>
      <c r="W58" s="123">
        <f>IF(V58&lt;'Target revenue sheet'!$F$3,'Target revenue sheet'!$F$3,V58)</f>
        <v>18665.2</v>
      </c>
      <c r="X58" s="123"/>
      <c r="Y58" s="124">
        <v>5286</v>
      </c>
      <c r="Z58" s="125">
        <f t="shared" si="36"/>
        <v>7.2074774510672819E-3</v>
      </c>
      <c r="AA58" s="126">
        <f t="shared" si="37"/>
        <v>21</v>
      </c>
      <c r="AB58" s="127">
        <v>5445</v>
      </c>
      <c r="AC58" s="127"/>
      <c r="AD58" s="128">
        <f t="shared" si="38"/>
        <v>8750.0499999999993</v>
      </c>
      <c r="AE58" s="129">
        <f t="shared" si="39"/>
        <v>0</v>
      </c>
      <c r="AF58" s="130">
        <f t="shared" si="40"/>
        <v>8750.0499999999993</v>
      </c>
      <c r="AG58" s="131">
        <f t="shared" si="41"/>
        <v>12055.1</v>
      </c>
      <c r="AH58" s="132">
        <f t="shared" si="42"/>
        <v>0</v>
      </c>
      <c r="AI58" s="133">
        <f t="shared" si="43"/>
        <v>12055.1</v>
      </c>
      <c r="AJ58" s="134">
        <f t="shared" si="44"/>
        <v>15360.150000000001</v>
      </c>
      <c r="AK58" s="135">
        <f t="shared" si="45"/>
        <v>0</v>
      </c>
      <c r="AL58" s="136">
        <f t="shared" si="46"/>
        <v>15360.150000000001</v>
      </c>
      <c r="AM58" s="137">
        <f t="shared" si="47"/>
        <v>18665.2</v>
      </c>
      <c r="AN58" s="137">
        <f t="shared" si="48"/>
        <v>0</v>
      </c>
      <c r="AO58" s="138">
        <f t="shared" si="49"/>
        <v>18665.2</v>
      </c>
      <c r="AP58" s="139">
        <f t="shared" si="50"/>
        <v>13220.2</v>
      </c>
      <c r="AQ58" s="140">
        <f t="shared" si="51"/>
        <v>2.4279522497704318</v>
      </c>
      <c r="AR58" s="141">
        <f t="shared" si="52"/>
        <v>1.7490481377213013E-2</v>
      </c>
      <c r="AS58" s="142">
        <f t="shared" si="53"/>
        <v>14</v>
      </c>
      <c r="AT58" s="143">
        <f t="shared" si="54"/>
        <v>13220.2</v>
      </c>
      <c r="AU58" s="144">
        <f t="shared" si="55"/>
        <v>13220.2</v>
      </c>
      <c r="AV58" s="260">
        <v>1750</v>
      </c>
      <c r="AW58" s="146" t="str">
        <f t="shared" si="56"/>
        <v/>
      </c>
      <c r="AX58" s="146" t="str">
        <f t="shared" si="57"/>
        <v/>
      </c>
      <c r="AY58" s="146" t="str">
        <f t="shared" si="58"/>
        <v/>
      </c>
      <c r="AZ58" s="146">
        <f t="shared" si="59"/>
        <v>18665.2</v>
      </c>
      <c r="BA58" s="42">
        <v>59</v>
      </c>
    </row>
    <row r="59" spans="1:53" ht="18" customHeight="1" x14ac:dyDescent="0.25">
      <c r="A59" s="104" t="s">
        <v>69</v>
      </c>
      <c r="B59" s="152" t="s">
        <v>70</v>
      </c>
      <c r="C59" s="104">
        <v>1</v>
      </c>
      <c r="D59" s="106" t="s">
        <v>325</v>
      </c>
      <c r="E59" s="107">
        <v>183</v>
      </c>
      <c r="F59" s="107">
        <f t="shared" si="30"/>
        <v>41</v>
      </c>
      <c r="G59" s="108">
        <v>4603</v>
      </c>
      <c r="H59" s="108" t="s">
        <v>312</v>
      </c>
      <c r="I59" s="109">
        <f t="shared" si="31"/>
        <v>6.5398478913501522E-3</v>
      </c>
      <c r="J59" s="110">
        <f>G59*'Target revenue sheet'!$F$19</f>
        <v>1565.0200000000002</v>
      </c>
      <c r="K59" s="111">
        <v>1544</v>
      </c>
      <c r="L59" s="112">
        <f t="shared" si="32"/>
        <v>5.7048901697796008E-3</v>
      </c>
      <c r="M59" s="113">
        <f>K59*'Target revenue sheet'!$F$20</f>
        <v>1374.16</v>
      </c>
      <c r="N59" s="114">
        <v>15308</v>
      </c>
      <c r="O59" s="115">
        <f t="shared" si="33"/>
        <v>4.0870214109408184E-3</v>
      </c>
      <c r="P59" s="116">
        <f>N59*'Target revenue sheet'!$F$21</f>
        <v>1071.5600000000002</v>
      </c>
      <c r="Q59" s="117">
        <v>15612</v>
      </c>
      <c r="R59" s="118">
        <f t="shared" si="34"/>
        <v>3.7916027123122658E-3</v>
      </c>
      <c r="S59" s="119">
        <f>Q59*'Target revenue sheet'!$F$22</f>
        <v>936.71999999999991</v>
      </c>
      <c r="T59" s="120">
        <f>'Target revenue sheet'!$F$2</f>
        <v>1000</v>
      </c>
      <c r="U59" s="121">
        <f>(C59-1)*'Target revenue sheet'!$F$1</f>
        <v>0</v>
      </c>
      <c r="V59" s="122">
        <f t="shared" si="35"/>
        <v>5947.4600000000009</v>
      </c>
      <c r="W59" s="123">
        <f>IF(V59&lt;'Target revenue sheet'!$F$3,'Target revenue sheet'!$F$3,V59)</f>
        <v>5947.4600000000009</v>
      </c>
      <c r="X59" s="123"/>
      <c r="Y59" s="124">
        <v>1750</v>
      </c>
      <c r="Z59" s="125">
        <f t="shared" si="36"/>
        <v>2.3861304463427438E-3</v>
      </c>
      <c r="AA59" s="126">
        <f t="shared" si="37"/>
        <v>58</v>
      </c>
      <c r="AB59" s="127">
        <v>1900</v>
      </c>
      <c r="AC59" s="127"/>
      <c r="AD59" s="128">
        <f t="shared" si="38"/>
        <v>2911.8650000000002</v>
      </c>
      <c r="AE59" s="129">
        <f t="shared" si="39"/>
        <v>0</v>
      </c>
      <c r="AF59" s="130">
        <f t="shared" si="40"/>
        <v>2911.8650000000002</v>
      </c>
      <c r="AG59" s="131">
        <f t="shared" si="41"/>
        <v>3923.7300000000005</v>
      </c>
      <c r="AH59" s="132">
        <f t="shared" si="42"/>
        <v>0</v>
      </c>
      <c r="AI59" s="133">
        <f t="shared" si="43"/>
        <v>3923.7300000000005</v>
      </c>
      <c r="AJ59" s="134">
        <f t="shared" si="44"/>
        <v>4935.5950000000012</v>
      </c>
      <c r="AK59" s="135">
        <f t="shared" si="45"/>
        <v>0</v>
      </c>
      <c r="AL59" s="136">
        <f t="shared" si="46"/>
        <v>4935.5950000000012</v>
      </c>
      <c r="AM59" s="137">
        <f t="shared" si="47"/>
        <v>5947.4600000000009</v>
      </c>
      <c r="AN59" s="137">
        <f t="shared" si="48"/>
        <v>0</v>
      </c>
      <c r="AO59" s="138">
        <f t="shared" si="49"/>
        <v>5947.4600000000009</v>
      </c>
      <c r="AP59" s="139">
        <f t="shared" si="50"/>
        <v>4047.4600000000009</v>
      </c>
      <c r="AQ59" s="140">
        <f t="shared" si="51"/>
        <v>2.1302421052631586</v>
      </c>
      <c r="AR59" s="141">
        <f t="shared" si="52"/>
        <v>5.5731488744679572E-3</v>
      </c>
      <c r="AS59" s="142">
        <f t="shared" si="53"/>
        <v>42</v>
      </c>
      <c r="AT59" s="143">
        <f t="shared" si="54"/>
        <v>4047.4600000000009</v>
      </c>
      <c r="AU59" s="144">
        <f t="shared" si="55"/>
        <v>4047.4600000000009</v>
      </c>
      <c r="AV59" s="260">
        <v>875</v>
      </c>
      <c r="AW59" s="146" t="str">
        <f t="shared" si="56"/>
        <v/>
      </c>
      <c r="AX59" s="146" t="str">
        <f t="shared" si="57"/>
        <v/>
      </c>
      <c r="AY59" s="146">
        <f t="shared" si="58"/>
        <v>5947.4600000000009</v>
      </c>
      <c r="AZ59" s="146" t="str">
        <f t="shared" si="59"/>
        <v/>
      </c>
      <c r="BA59" s="42">
        <v>26</v>
      </c>
    </row>
    <row r="60" spans="1:53" ht="18" customHeight="1" x14ac:dyDescent="0.25">
      <c r="A60" s="104" t="s">
        <v>152</v>
      </c>
      <c r="B60" s="104" t="s">
        <v>153</v>
      </c>
      <c r="C60" s="104">
        <v>1</v>
      </c>
      <c r="D60" s="106" t="s">
        <v>325</v>
      </c>
      <c r="E60" s="107">
        <v>299</v>
      </c>
      <c r="F60" s="107">
        <f t="shared" si="30"/>
        <v>78</v>
      </c>
      <c r="G60" s="108">
        <v>1252</v>
      </c>
      <c r="H60" s="108" t="s">
        <v>311</v>
      </c>
      <c r="I60" s="109">
        <f t="shared" si="31"/>
        <v>1.778815893975753E-3</v>
      </c>
      <c r="J60" s="110">
        <f>G60*'Target revenue sheet'!$F$19</f>
        <v>425.68</v>
      </c>
      <c r="K60" s="111">
        <v>418</v>
      </c>
      <c r="L60" s="112">
        <f t="shared" si="32"/>
        <v>1.5444586081398142E-3</v>
      </c>
      <c r="M60" s="113">
        <f>K60*'Target revenue sheet'!$F$20</f>
        <v>372.02</v>
      </c>
      <c r="N60" s="114">
        <v>18527</v>
      </c>
      <c r="O60" s="115">
        <f t="shared" si="33"/>
        <v>4.9464492866802025E-3</v>
      </c>
      <c r="P60" s="116">
        <f>N60*'Target revenue sheet'!$F$21</f>
        <v>1296.8900000000001</v>
      </c>
      <c r="Q60" s="117">
        <v>6994</v>
      </c>
      <c r="R60" s="118">
        <f t="shared" si="34"/>
        <v>1.6985952709397891E-3</v>
      </c>
      <c r="S60" s="119">
        <f>Q60*'Target revenue sheet'!$F$22</f>
        <v>419.64</v>
      </c>
      <c r="T60" s="120">
        <f>'Target revenue sheet'!$F$2</f>
        <v>1000</v>
      </c>
      <c r="U60" s="121">
        <f>(C60-1)*'Target revenue sheet'!$F$1</f>
        <v>0</v>
      </c>
      <c r="V60" s="122">
        <f t="shared" si="35"/>
        <v>3514.23</v>
      </c>
      <c r="W60" s="122">
        <f>IF(V60&lt;'Target revenue sheet'!$F$3,'Target revenue sheet'!$F$3,V60)</f>
        <v>3514.23</v>
      </c>
      <c r="X60" s="122"/>
      <c r="Y60" s="124">
        <v>1750</v>
      </c>
      <c r="Z60" s="125">
        <f t="shared" si="36"/>
        <v>2.3861304463427438E-3</v>
      </c>
      <c r="AA60" s="126">
        <f t="shared" si="37"/>
        <v>58</v>
      </c>
      <c r="AB60" s="154">
        <v>1900</v>
      </c>
      <c r="AC60" s="154"/>
      <c r="AD60" s="128">
        <f t="shared" si="38"/>
        <v>2303.5574999999999</v>
      </c>
      <c r="AE60" s="129">
        <f t="shared" si="39"/>
        <v>0</v>
      </c>
      <c r="AF60" s="130">
        <f t="shared" si="40"/>
        <v>2303.5574999999999</v>
      </c>
      <c r="AG60" s="131">
        <f t="shared" si="41"/>
        <v>2707.1149999999998</v>
      </c>
      <c r="AH60" s="132">
        <f t="shared" si="42"/>
        <v>0</v>
      </c>
      <c r="AI60" s="133">
        <f t="shared" si="43"/>
        <v>2707.1149999999998</v>
      </c>
      <c r="AJ60" s="134">
        <f t="shared" si="44"/>
        <v>3110.6725000000001</v>
      </c>
      <c r="AK60" s="135">
        <f t="shared" si="45"/>
        <v>0</v>
      </c>
      <c r="AL60" s="136">
        <f t="shared" si="46"/>
        <v>3110.6725000000001</v>
      </c>
      <c r="AM60" s="137">
        <f t="shared" si="47"/>
        <v>3514.23</v>
      </c>
      <c r="AN60" s="137">
        <f t="shared" si="48"/>
        <v>0</v>
      </c>
      <c r="AO60" s="138">
        <f t="shared" si="49"/>
        <v>3514.23</v>
      </c>
      <c r="AP60" s="155">
        <f t="shared" si="50"/>
        <v>1614.23</v>
      </c>
      <c r="AQ60" s="140">
        <f t="shared" si="51"/>
        <v>0.84959473684210529</v>
      </c>
      <c r="AR60" s="141">
        <f t="shared" si="52"/>
        <v>3.2930573671990271E-3</v>
      </c>
      <c r="AS60" s="142">
        <f t="shared" si="53"/>
        <v>77</v>
      </c>
      <c r="AT60" s="143" t="str">
        <f t="shared" si="54"/>
        <v/>
      </c>
      <c r="AU60" s="144" t="str">
        <f t="shared" si="55"/>
        <v/>
      </c>
      <c r="AV60" s="260">
        <v>2625</v>
      </c>
      <c r="AW60" s="146">
        <f t="shared" si="56"/>
        <v>3514.23</v>
      </c>
      <c r="AX60" s="146" t="str">
        <f t="shared" si="57"/>
        <v/>
      </c>
      <c r="AY60" s="146" t="str">
        <f t="shared" si="58"/>
        <v/>
      </c>
      <c r="AZ60" s="146" t="str">
        <f t="shared" si="59"/>
        <v/>
      </c>
      <c r="BA60" s="42">
        <v>66</v>
      </c>
    </row>
    <row r="61" spans="1:53" ht="18" customHeight="1" x14ac:dyDescent="0.25">
      <c r="A61" s="104" t="s">
        <v>134</v>
      </c>
      <c r="B61" s="105" t="s">
        <v>135</v>
      </c>
      <c r="C61" s="104">
        <v>1</v>
      </c>
      <c r="D61" s="106" t="s">
        <v>325</v>
      </c>
      <c r="E61" s="107">
        <v>114</v>
      </c>
      <c r="F61" s="107">
        <f t="shared" si="30"/>
        <v>27</v>
      </c>
      <c r="G61" s="108">
        <v>4530</v>
      </c>
      <c r="H61" s="108" t="s">
        <v>312</v>
      </c>
      <c r="I61" s="109">
        <f t="shared" si="31"/>
        <v>6.4361309901838351E-3</v>
      </c>
      <c r="J61" s="110">
        <f>G61*'Target revenue sheet'!$F$19</f>
        <v>1540.2</v>
      </c>
      <c r="K61" s="111">
        <v>1899</v>
      </c>
      <c r="L61" s="112">
        <f t="shared" si="32"/>
        <v>7.0165715235825524E-3</v>
      </c>
      <c r="M61" s="113">
        <f>K61*'Target revenue sheet'!$F$20</f>
        <v>1690.1100000000001</v>
      </c>
      <c r="N61" s="114">
        <v>33958</v>
      </c>
      <c r="O61" s="115">
        <f t="shared" si="33"/>
        <v>9.0663099733948472E-3</v>
      </c>
      <c r="P61" s="116">
        <f>N61*'Target revenue sheet'!$F$21</f>
        <v>2377.0600000000004</v>
      </c>
      <c r="Q61" s="117">
        <v>31034</v>
      </c>
      <c r="R61" s="118">
        <f t="shared" si="34"/>
        <v>7.5370611436010029E-3</v>
      </c>
      <c r="S61" s="119">
        <f>Q61*'Target revenue sheet'!$F$22</f>
        <v>1862.04</v>
      </c>
      <c r="T61" s="120">
        <f>'Target revenue sheet'!$F$2</f>
        <v>1000</v>
      </c>
      <c r="U61" s="121">
        <f>(C61-1)*'Target revenue sheet'!$F$1</f>
        <v>0</v>
      </c>
      <c r="V61" s="122">
        <f t="shared" si="35"/>
        <v>8469.41</v>
      </c>
      <c r="W61" s="123">
        <f>IF(V61&lt;'Target revenue sheet'!$F$3,'Target revenue sheet'!$F$3,V61)</f>
        <v>8469.41</v>
      </c>
      <c r="X61" s="123"/>
      <c r="Y61" s="124">
        <v>2930</v>
      </c>
      <c r="Z61" s="125">
        <f t="shared" si="36"/>
        <v>3.9950641187338513E-3</v>
      </c>
      <c r="AA61" s="126">
        <f t="shared" si="37"/>
        <v>29</v>
      </c>
      <c r="AB61" s="127">
        <v>3080</v>
      </c>
      <c r="AC61" s="127"/>
      <c r="AD61" s="128">
        <f t="shared" si="38"/>
        <v>4427.3525</v>
      </c>
      <c r="AE61" s="129">
        <f t="shared" si="39"/>
        <v>0</v>
      </c>
      <c r="AF61" s="130">
        <f t="shared" si="40"/>
        <v>4427.3525</v>
      </c>
      <c r="AG61" s="131">
        <f t="shared" si="41"/>
        <v>5774.7049999999999</v>
      </c>
      <c r="AH61" s="132">
        <f t="shared" si="42"/>
        <v>0</v>
      </c>
      <c r="AI61" s="133">
        <f t="shared" si="43"/>
        <v>5774.7049999999999</v>
      </c>
      <c r="AJ61" s="134">
        <f t="shared" si="44"/>
        <v>7122.0574999999999</v>
      </c>
      <c r="AK61" s="135">
        <f t="shared" si="45"/>
        <v>0</v>
      </c>
      <c r="AL61" s="136">
        <f t="shared" si="46"/>
        <v>7122.0574999999999</v>
      </c>
      <c r="AM61" s="137">
        <f t="shared" si="47"/>
        <v>8469.41</v>
      </c>
      <c r="AN61" s="137">
        <f t="shared" si="48"/>
        <v>0</v>
      </c>
      <c r="AO61" s="138">
        <f t="shared" si="49"/>
        <v>8469.41</v>
      </c>
      <c r="AP61" s="139">
        <f t="shared" si="50"/>
        <v>5389.41</v>
      </c>
      <c r="AQ61" s="140">
        <f t="shared" si="51"/>
        <v>1.7498084415584416</v>
      </c>
      <c r="AR61" s="141">
        <f t="shared" si="52"/>
        <v>7.9363766732197701E-3</v>
      </c>
      <c r="AS61" s="142">
        <f t="shared" si="53"/>
        <v>29</v>
      </c>
      <c r="AT61" s="143">
        <f t="shared" si="54"/>
        <v>5389.41</v>
      </c>
      <c r="AU61" s="144" t="str">
        <f t="shared" si="55"/>
        <v/>
      </c>
      <c r="AV61" s="260">
        <v>1750</v>
      </c>
      <c r="AW61" s="146" t="str">
        <f t="shared" si="56"/>
        <v/>
      </c>
      <c r="AX61" s="146" t="str">
        <f t="shared" si="57"/>
        <v/>
      </c>
      <c r="AY61" s="146">
        <f t="shared" si="58"/>
        <v>8469.41</v>
      </c>
      <c r="AZ61" s="146" t="str">
        <f t="shared" si="59"/>
        <v/>
      </c>
      <c r="BA61" s="42">
        <v>58</v>
      </c>
    </row>
    <row r="62" spans="1:53" ht="18" customHeight="1" x14ac:dyDescent="0.25">
      <c r="A62" s="157" t="s">
        <v>144</v>
      </c>
      <c r="B62" s="105" t="s">
        <v>145</v>
      </c>
      <c r="C62" s="147">
        <v>1</v>
      </c>
      <c r="D62" s="106" t="s">
        <v>325</v>
      </c>
      <c r="E62" s="107">
        <v>362</v>
      </c>
      <c r="F62" s="107">
        <f t="shared" si="30"/>
        <v>93</v>
      </c>
      <c r="G62" s="108">
        <v>1417</v>
      </c>
      <c r="H62" s="108" t="s">
        <v>311</v>
      </c>
      <c r="I62" s="109">
        <f t="shared" si="31"/>
        <v>2.0132445062009921E-3</v>
      </c>
      <c r="J62" s="110">
        <f>G62*'Target revenue sheet'!$F$19</f>
        <v>481.78000000000003</v>
      </c>
      <c r="K62" s="111">
        <v>0</v>
      </c>
      <c r="L62" s="112">
        <f t="shared" si="32"/>
        <v>0</v>
      </c>
      <c r="M62" s="113">
        <f>K62*'Target revenue sheet'!$F$20</f>
        <v>0</v>
      </c>
      <c r="N62" s="114">
        <v>9717</v>
      </c>
      <c r="O62" s="115">
        <f t="shared" si="33"/>
        <v>2.5943027861322142E-3</v>
      </c>
      <c r="P62" s="116">
        <f>N62*'Target revenue sheet'!$F$21</f>
        <v>680.19</v>
      </c>
      <c r="Q62" s="117">
        <v>0</v>
      </c>
      <c r="R62" s="118">
        <f t="shared" si="34"/>
        <v>0</v>
      </c>
      <c r="S62" s="119">
        <f>Q62*'Target revenue sheet'!$F$22</f>
        <v>0</v>
      </c>
      <c r="T62" s="120">
        <f>'Target revenue sheet'!$F$2</f>
        <v>1000</v>
      </c>
      <c r="U62" s="121">
        <f>(C62-1)*'Target revenue sheet'!$F$1</f>
        <v>0</v>
      </c>
      <c r="V62" s="122">
        <f t="shared" si="35"/>
        <v>2161.9700000000003</v>
      </c>
      <c r="W62" s="123">
        <f>IF(V62&lt;'Target revenue sheet'!$F$3,'Target revenue sheet'!$F$3,V62)</f>
        <v>3200</v>
      </c>
      <c r="X62" s="123"/>
      <c r="Y62" s="124">
        <v>1350</v>
      </c>
      <c r="Z62" s="125">
        <f t="shared" si="36"/>
        <v>1.8407292014644024E-3</v>
      </c>
      <c r="AA62" s="126">
        <f t="shared" si="37"/>
        <v>96</v>
      </c>
      <c r="AB62" s="127">
        <v>1500</v>
      </c>
      <c r="AC62" s="127"/>
      <c r="AD62" s="128">
        <f t="shared" si="38"/>
        <v>1925</v>
      </c>
      <c r="AE62" s="129">
        <f t="shared" si="39"/>
        <v>0</v>
      </c>
      <c r="AF62" s="130">
        <f t="shared" si="40"/>
        <v>1925</v>
      </c>
      <c r="AG62" s="131">
        <f t="shared" si="41"/>
        <v>2350</v>
      </c>
      <c r="AH62" s="132">
        <f t="shared" si="42"/>
        <v>0</v>
      </c>
      <c r="AI62" s="133">
        <f t="shared" si="43"/>
        <v>2350</v>
      </c>
      <c r="AJ62" s="134">
        <f t="shared" si="44"/>
        <v>2775</v>
      </c>
      <c r="AK62" s="135">
        <f t="shared" si="45"/>
        <v>0</v>
      </c>
      <c r="AL62" s="136">
        <f t="shared" si="46"/>
        <v>2775</v>
      </c>
      <c r="AM62" s="137">
        <f t="shared" si="47"/>
        <v>3200</v>
      </c>
      <c r="AN62" s="137">
        <f t="shared" si="48"/>
        <v>0</v>
      </c>
      <c r="AO62" s="270">
        <f t="shared" si="49"/>
        <v>3200</v>
      </c>
      <c r="AP62" s="139">
        <f t="shared" si="50"/>
        <v>1700</v>
      </c>
      <c r="AQ62" s="140">
        <f t="shared" si="51"/>
        <v>1.1333333333333333</v>
      </c>
      <c r="AR62" s="141">
        <f t="shared" si="52"/>
        <v>2.9986038406811409E-3</v>
      </c>
      <c r="AS62" s="142">
        <f t="shared" si="53"/>
        <v>81</v>
      </c>
      <c r="AT62" s="143">
        <f t="shared" si="54"/>
        <v>1700</v>
      </c>
      <c r="AU62" s="144" t="str">
        <f t="shared" si="55"/>
        <v/>
      </c>
      <c r="AV62" s="261">
        <v>0</v>
      </c>
      <c r="AW62" s="146">
        <f t="shared" si="56"/>
        <v>3200</v>
      </c>
      <c r="AX62" s="146" t="str">
        <f t="shared" si="57"/>
        <v/>
      </c>
      <c r="AY62" s="146" t="str">
        <f t="shared" si="58"/>
        <v/>
      </c>
      <c r="AZ62" s="146" t="str">
        <f t="shared" si="59"/>
        <v/>
      </c>
      <c r="BA62" s="42">
        <v>63</v>
      </c>
    </row>
    <row r="63" spans="1:53" ht="18" customHeight="1" x14ac:dyDescent="0.25">
      <c r="A63" s="147" t="s">
        <v>150</v>
      </c>
      <c r="B63" s="105" t="s">
        <v>151</v>
      </c>
      <c r="C63" s="147">
        <v>1</v>
      </c>
      <c r="D63" s="106" t="s">
        <v>325</v>
      </c>
      <c r="E63" s="107">
        <v>33</v>
      </c>
      <c r="F63" s="107">
        <f t="shared" si="30"/>
        <v>8</v>
      </c>
      <c r="G63" s="108">
        <v>17117</v>
      </c>
      <c r="H63" s="108" t="s">
        <v>314</v>
      </c>
      <c r="I63" s="109">
        <f t="shared" si="31"/>
        <v>2.4319482154299493E-2</v>
      </c>
      <c r="J63" s="110">
        <f>G63*'Target revenue sheet'!$F$19</f>
        <v>5819.7800000000007</v>
      </c>
      <c r="K63" s="111">
        <v>7726</v>
      </c>
      <c r="L63" s="112">
        <f t="shared" si="32"/>
        <v>2.8546620111215799E-2</v>
      </c>
      <c r="M63" s="113">
        <f>K63*'Target revenue sheet'!$F$20</f>
        <v>6876.14</v>
      </c>
      <c r="N63" s="114">
        <v>88782</v>
      </c>
      <c r="O63" s="115">
        <f t="shared" si="33"/>
        <v>2.3703549445136383E-2</v>
      </c>
      <c r="P63" s="116">
        <f>N63*'Target revenue sheet'!$F$21</f>
        <v>6214.7400000000007</v>
      </c>
      <c r="Q63" s="117">
        <v>226118</v>
      </c>
      <c r="R63" s="118">
        <f t="shared" si="34"/>
        <v>5.4916065981464569E-2</v>
      </c>
      <c r="S63" s="119">
        <f>Q63*'Target revenue sheet'!$F$22</f>
        <v>13567.08</v>
      </c>
      <c r="T63" s="120">
        <f>'Target revenue sheet'!$F$2</f>
        <v>1000</v>
      </c>
      <c r="U63" s="121">
        <f>(C63-1)*'Target revenue sheet'!$F$1</f>
        <v>0</v>
      </c>
      <c r="V63" s="122">
        <f t="shared" si="35"/>
        <v>33477.740000000005</v>
      </c>
      <c r="W63" s="123">
        <f>IF(V63&lt;'Target revenue sheet'!$F$3,'Target revenue sheet'!$F$3,V63)</f>
        <v>33477.740000000005</v>
      </c>
      <c r="X63" s="123"/>
      <c r="Y63" s="124">
        <v>28389</v>
      </c>
      <c r="Z63" s="125">
        <f t="shared" si="36"/>
        <v>3.8708489852128089E-2</v>
      </c>
      <c r="AA63" s="126">
        <f t="shared" si="37"/>
        <v>7</v>
      </c>
      <c r="AB63" s="127">
        <v>29241</v>
      </c>
      <c r="AC63" s="127"/>
      <c r="AD63" s="128">
        <f t="shared" si="38"/>
        <v>30300.185000000001</v>
      </c>
      <c r="AE63" s="129">
        <f t="shared" si="39"/>
        <v>0</v>
      </c>
      <c r="AF63" s="130">
        <f t="shared" si="40"/>
        <v>30300.185000000001</v>
      </c>
      <c r="AG63" s="131">
        <f t="shared" si="41"/>
        <v>31359.370000000003</v>
      </c>
      <c r="AH63" s="132">
        <f t="shared" si="42"/>
        <v>0</v>
      </c>
      <c r="AI63" s="133">
        <f t="shared" si="43"/>
        <v>31359.370000000003</v>
      </c>
      <c r="AJ63" s="134">
        <f t="shared" si="44"/>
        <v>32418.555000000004</v>
      </c>
      <c r="AK63" s="135">
        <f t="shared" si="45"/>
        <v>0</v>
      </c>
      <c r="AL63" s="136">
        <f t="shared" si="46"/>
        <v>32418.555000000004</v>
      </c>
      <c r="AM63" s="137">
        <f t="shared" si="47"/>
        <v>33477.740000000005</v>
      </c>
      <c r="AN63" s="137">
        <f t="shared" si="48"/>
        <v>0</v>
      </c>
      <c r="AO63" s="138">
        <f t="shared" si="49"/>
        <v>33477.740000000005</v>
      </c>
      <c r="AP63" s="139">
        <f t="shared" si="50"/>
        <v>4236.7400000000052</v>
      </c>
      <c r="AQ63" s="140">
        <f t="shared" si="51"/>
        <v>0.14489039362538919</v>
      </c>
      <c r="AR63" s="141">
        <f t="shared" si="52"/>
        <v>3.1370774919163964E-2</v>
      </c>
      <c r="AS63" s="142">
        <f t="shared" si="53"/>
        <v>8</v>
      </c>
      <c r="AT63" s="143" t="str">
        <f t="shared" si="54"/>
        <v/>
      </c>
      <c r="AU63" s="144" t="str">
        <f t="shared" si="55"/>
        <v/>
      </c>
      <c r="AV63" s="261">
        <v>3500</v>
      </c>
      <c r="AW63" s="146" t="str">
        <f t="shared" si="56"/>
        <v/>
      </c>
      <c r="AX63" s="146" t="str">
        <f t="shared" si="57"/>
        <v/>
      </c>
      <c r="AY63" s="146" t="str">
        <f t="shared" si="58"/>
        <v/>
      </c>
      <c r="AZ63" s="146">
        <f t="shared" si="59"/>
        <v>33477.740000000005</v>
      </c>
      <c r="BA63" s="42">
        <v>65</v>
      </c>
    </row>
    <row r="64" spans="1:53" ht="18" customHeight="1" x14ac:dyDescent="0.25">
      <c r="A64" s="147" t="s">
        <v>140</v>
      </c>
      <c r="B64" s="152" t="s">
        <v>141</v>
      </c>
      <c r="C64" s="147">
        <v>1</v>
      </c>
      <c r="D64" s="106" t="s">
        <v>325</v>
      </c>
      <c r="E64" s="107">
        <v>269</v>
      </c>
      <c r="F64" s="107">
        <f t="shared" si="30"/>
        <v>69</v>
      </c>
      <c r="G64" s="108">
        <v>2541</v>
      </c>
      <c r="H64" s="108" t="s">
        <v>313</v>
      </c>
      <c r="I64" s="109">
        <f t="shared" si="31"/>
        <v>3.6102006282686806E-3</v>
      </c>
      <c r="J64" s="110">
        <f>G64*'Target revenue sheet'!$F$19</f>
        <v>863.94</v>
      </c>
      <c r="K64" s="111">
        <v>718</v>
      </c>
      <c r="L64" s="112">
        <f t="shared" si="32"/>
        <v>2.652921724029633E-3</v>
      </c>
      <c r="M64" s="113">
        <f>K64*'Target revenue sheet'!$F$20</f>
        <v>639.02</v>
      </c>
      <c r="N64" s="114">
        <v>12317</v>
      </c>
      <c r="O64" s="115">
        <f t="shared" si="33"/>
        <v>3.288466339074867E-3</v>
      </c>
      <c r="P64" s="116">
        <f>N64*'Target revenue sheet'!$F$21</f>
        <v>862.19</v>
      </c>
      <c r="Q64" s="117">
        <v>6955</v>
      </c>
      <c r="R64" s="118">
        <f t="shared" si="34"/>
        <v>1.6891235500981173E-3</v>
      </c>
      <c r="S64" s="119">
        <f>Q64*'Target revenue sheet'!$F$22</f>
        <v>417.3</v>
      </c>
      <c r="T64" s="120">
        <f>'Target revenue sheet'!$F$2</f>
        <v>1000</v>
      </c>
      <c r="U64" s="121">
        <f>(C64-1)*'Target revenue sheet'!$F$1</f>
        <v>0</v>
      </c>
      <c r="V64" s="122">
        <f t="shared" si="35"/>
        <v>3782.4500000000003</v>
      </c>
      <c r="W64" s="123">
        <f>IF(V64&lt;'Target revenue sheet'!$F$3,'Target revenue sheet'!$F$3,V64)</f>
        <v>3782.4500000000003</v>
      </c>
      <c r="X64" s="123"/>
      <c r="Y64" s="124">
        <v>1750</v>
      </c>
      <c r="Z64" s="125">
        <f t="shared" si="36"/>
        <v>2.3861304463427438E-3</v>
      </c>
      <c r="AA64" s="126">
        <f t="shared" si="37"/>
        <v>58</v>
      </c>
      <c r="AB64" s="127">
        <v>1900</v>
      </c>
      <c r="AC64" s="127"/>
      <c r="AD64" s="128">
        <f t="shared" si="38"/>
        <v>2370.6125000000002</v>
      </c>
      <c r="AE64" s="129">
        <f t="shared" si="39"/>
        <v>0</v>
      </c>
      <c r="AF64" s="130">
        <f t="shared" si="40"/>
        <v>2370.6125000000002</v>
      </c>
      <c r="AG64" s="131">
        <f t="shared" si="41"/>
        <v>2841.2250000000004</v>
      </c>
      <c r="AH64" s="132">
        <f t="shared" si="42"/>
        <v>0</v>
      </c>
      <c r="AI64" s="133">
        <f t="shared" si="43"/>
        <v>2841.2250000000004</v>
      </c>
      <c r="AJ64" s="134">
        <f t="shared" si="44"/>
        <v>3311.8375000000001</v>
      </c>
      <c r="AK64" s="135">
        <f t="shared" si="45"/>
        <v>0</v>
      </c>
      <c r="AL64" s="136">
        <f t="shared" si="46"/>
        <v>3311.8375000000001</v>
      </c>
      <c r="AM64" s="137">
        <f t="shared" si="47"/>
        <v>3782.4500000000003</v>
      </c>
      <c r="AN64" s="137">
        <f t="shared" si="48"/>
        <v>0</v>
      </c>
      <c r="AO64" s="138">
        <f t="shared" si="49"/>
        <v>3782.4500000000003</v>
      </c>
      <c r="AP64" s="139">
        <f t="shared" si="50"/>
        <v>1882.4500000000003</v>
      </c>
      <c r="AQ64" s="140">
        <f t="shared" si="51"/>
        <v>0.99076315789473701</v>
      </c>
      <c r="AR64" s="141">
        <f t="shared" si="52"/>
        <v>3.5443965928701198E-3</v>
      </c>
      <c r="AS64" s="142">
        <f t="shared" si="53"/>
        <v>73</v>
      </c>
      <c r="AT64" s="143" t="str">
        <f t="shared" si="54"/>
        <v/>
      </c>
      <c r="AU64" s="144" t="str">
        <f t="shared" si="55"/>
        <v/>
      </c>
      <c r="AV64" s="260">
        <v>1750</v>
      </c>
      <c r="AW64" s="146" t="str">
        <f t="shared" si="56"/>
        <v/>
      </c>
      <c r="AX64" s="146">
        <f t="shared" si="57"/>
        <v>3782.4500000000003</v>
      </c>
      <c r="AY64" s="146" t="str">
        <f t="shared" si="58"/>
        <v/>
      </c>
      <c r="AZ64" s="146" t="str">
        <f t="shared" si="59"/>
        <v/>
      </c>
      <c r="BA64" s="42">
        <v>61</v>
      </c>
    </row>
    <row r="65" spans="1:53" ht="18" customHeight="1" x14ac:dyDescent="0.25">
      <c r="A65" s="104" t="s">
        <v>146</v>
      </c>
      <c r="B65" s="152" t="s">
        <v>147</v>
      </c>
      <c r="C65" s="104">
        <v>1</v>
      </c>
      <c r="D65" s="106" t="s">
        <v>325</v>
      </c>
      <c r="E65" s="107">
        <v>298</v>
      </c>
      <c r="F65" s="107">
        <f t="shared" si="30"/>
        <v>76</v>
      </c>
      <c r="G65" s="108">
        <v>1370</v>
      </c>
      <c r="H65" s="108" t="s">
        <v>311</v>
      </c>
      <c r="I65" s="109">
        <f t="shared" si="31"/>
        <v>1.9464678712034997E-3</v>
      </c>
      <c r="J65" s="110">
        <f>G65*'Target revenue sheet'!$F$19</f>
        <v>465.8</v>
      </c>
      <c r="K65" s="111">
        <v>767</v>
      </c>
      <c r="L65" s="112">
        <f t="shared" si="32"/>
        <v>2.8339706996249698E-3</v>
      </c>
      <c r="M65" s="113">
        <f>K65*'Target revenue sheet'!$F$20</f>
        <v>682.63</v>
      </c>
      <c r="N65" s="114">
        <v>20456</v>
      </c>
      <c r="O65" s="115">
        <f t="shared" si="33"/>
        <v>5.4614652457672707E-3</v>
      </c>
      <c r="P65" s="116">
        <f>N65*'Target revenue sheet'!$F$21</f>
        <v>1431.92</v>
      </c>
      <c r="Q65" s="117">
        <v>2207</v>
      </c>
      <c r="R65" s="118">
        <f t="shared" si="34"/>
        <v>5.3600225378383102E-4</v>
      </c>
      <c r="S65" s="119">
        <f>Q65*'Target revenue sheet'!$F$22</f>
        <v>132.41999999999999</v>
      </c>
      <c r="T65" s="120">
        <f>'Target revenue sheet'!$F$2</f>
        <v>1000</v>
      </c>
      <c r="U65" s="121">
        <f>(C65-1)*'Target revenue sheet'!$F$1</f>
        <v>0</v>
      </c>
      <c r="V65" s="122">
        <f t="shared" si="35"/>
        <v>3712.7700000000004</v>
      </c>
      <c r="W65" s="123">
        <f>IF(V65&lt;'Target revenue sheet'!$F$3,'Target revenue sheet'!$F$3,V65)</f>
        <v>3712.7700000000004</v>
      </c>
      <c r="X65" s="123"/>
      <c r="Y65" s="124">
        <v>1750</v>
      </c>
      <c r="Z65" s="125">
        <f t="shared" si="36"/>
        <v>2.3861304463427438E-3</v>
      </c>
      <c r="AA65" s="126">
        <f t="shared" si="37"/>
        <v>58</v>
      </c>
      <c r="AB65" s="127">
        <v>1900</v>
      </c>
      <c r="AC65" s="127"/>
      <c r="AD65" s="128">
        <f t="shared" si="38"/>
        <v>2353.1925000000001</v>
      </c>
      <c r="AE65" s="129">
        <f t="shared" si="39"/>
        <v>0</v>
      </c>
      <c r="AF65" s="130">
        <f t="shared" si="40"/>
        <v>2353.1925000000001</v>
      </c>
      <c r="AG65" s="131">
        <f t="shared" si="41"/>
        <v>2806.3850000000002</v>
      </c>
      <c r="AH65" s="132">
        <f t="shared" si="42"/>
        <v>0</v>
      </c>
      <c r="AI65" s="133">
        <f t="shared" si="43"/>
        <v>2806.3850000000002</v>
      </c>
      <c r="AJ65" s="134">
        <f t="shared" si="44"/>
        <v>3259.5775000000003</v>
      </c>
      <c r="AK65" s="135">
        <f t="shared" si="45"/>
        <v>0</v>
      </c>
      <c r="AL65" s="136">
        <f t="shared" si="46"/>
        <v>3259.5775000000003</v>
      </c>
      <c r="AM65" s="137">
        <f t="shared" si="47"/>
        <v>3712.7700000000004</v>
      </c>
      <c r="AN65" s="137">
        <f t="shared" si="48"/>
        <v>0</v>
      </c>
      <c r="AO65" s="138">
        <f t="shared" si="49"/>
        <v>3712.7700000000004</v>
      </c>
      <c r="AP65" s="139">
        <f t="shared" si="50"/>
        <v>1812.7700000000004</v>
      </c>
      <c r="AQ65" s="140">
        <f t="shared" si="51"/>
        <v>0.95408947368421071</v>
      </c>
      <c r="AR65" s="141">
        <f t="shared" si="52"/>
        <v>3.4791019942392878E-3</v>
      </c>
      <c r="AS65" s="142">
        <f t="shared" si="53"/>
        <v>74</v>
      </c>
      <c r="AT65" s="143" t="str">
        <f t="shared" si="54"/>
        <v/>
      </c>
      <c r="AU65" s="144" t="str">
        <f t="shared" si="55"/>
        <v/>
      </c>
      <c r="AV65" s="260">
        <v>1750</v>
      </c>
      <c r="AW65" s="146">
        <f t="shared" si="56"/>
        <v>3712.7700000000004</v>
      </c>
      <c r="AX65" s="146" t="str">
        <f t="shared" si="57"/>
        <v/>
      </c>
      <c r="AY65" s="146" t="str">
        <f t="shared" si="58"/>
        <v/>
      </c>
      <c r="AZ65" s="146" t="str">
        <f t="shared" si="59"/>
        <v/>
      </c>
      <c r="BA65" s="42">
        <v>57</v>
      </c>
    </row>
    <row r="66" spans="1:53" ht="18" customHeight="1" x14ac:dyDescent="0.25">
      <c r="A66" s="104" t="s">
        <v>142</v>
      </c>
      <c r="B66" s="152" t="s">
        <v>143</v>
      </c>
      <c r="C66" s="104">
        <v>1</v>
      </c>
      <c r="D66" s="106" t="s">
        <v>325</v>
      </c>
      <c r="E66" s="107">
        <v>331</v>
      </c>
      <c r="F66" s="107">
        <f t="shared" ref="F66:F97" si="60">_xlfn.RANK.EQ(E66,$E$2:$E$97,1)</f>
        <v>86</v>
      </c>
      <c r="G66" s="108">
        <v>1206</v>
      </c>
      <c r="H66" s="108" t="s">
        <v>311</v>
      </c>
      <c r="I66" s="109">
        <f t="shared" ref="I66:I97" si="61">G66/$G$98</f>
        <v>1.7134600384462924E-3</v>
      </c>
      <c r="J66" s="110">
        <f>G66*'Target revenue sheet'!$F$19</f>
        <v>410.04</v>
      </c>
      <c r="K66" s="111">
        <v>339</v>
      </c>
      <c r="L66" s="112">
        <f t="shared" ref="L66:L97" si="62">K66/$K$98</f>
        <v>1.2525633209554952E-3</v>
      </c>
      <c r="M66" s="113">
        <f>K66*'Target revenue sheet'!$F$20</f>
        <v>301.70999999999998</v>
      </c>
      <c r="N66" s="114">
        <v>13301</v>
      </c>
      <c r="O66" s="115">
        <f t="shared" ref="O66:O97" si="63">N66/$N$98</f>
        <v>3.5511805452654709E-3</v>
      </c>
      <c r="P66" s="116">
        <f>N66*'Target revenue sheet'!$F$21</f>
        <v>931.07</v>
      </c>
      <c r="Q66" s="117">
        <v>4291</v>
      </c>
      <c r="R66" s="118">
        <f t="shared" ref="R66:R97" si="64">Q66/$Q$98</f>
        <v>1.0421321572208514E-3</v>
      </c>
      <c r="S66" s="119">
        <f>Q66*'Target revenue sheet'!$F$22</f>
        <v>257.45999999999998</v>
      </c>
      <c r="T66" s="120">
        <f>'Target revenue sheet'!$F$2</f>
        <v>1000</v>
      </c>
      <c r="U66" s="121">
        <f>(C66-1)*'Target revenue sheet'!$F$1</f>
        <v>0</v>
      </c>
      <c r="V66" s="122">
        <f t="shared" ref="V66:V97" si="65">J66+M66+P66+S66+T66+U66</f>
        <v>2900.28</v>
      </c>
      <c r="W66" s="123">
        <f>IF(V66&lt;'Target revenue sheet'!$F$3,'Target revenue sheet'!$F$3,V66)</f>
        <v>3200</v>
      </c>
      <c r="X66" s="123"/>
      <c r="Y66" s="124">
        <v>1750</v>
      </c>
      <c r="Z66" s="125">
        <f t="shared" ref="Z66:Z97" si="66">Y66/$Y$98</f>
        <v>2.3861304463427438E-3</v>
      </c>
      <c r="AA66" s="126">
        <f t="shared" ref="AA66:AA73" si="67">_xlfn.RANK.EQ(Y66,$Y$2:$Y$97)</f>
        <v>58</v>
      </c>
      <c r="AB66" s="127">
        <v>1900</v>
      </c>
      <c r="AC66" s="127"/>
      <c r="AD66" s="128">
        <f t="shared" ref="AD66:AD97" si="68">$AB66+($AP66*0.25)</f>
        <v>2225</v>
      </c>
      <c r="AE66" s="129">
        <f t="shared" ref="AE66:AE97" si="69">IF($D66="Yes",AD66*0.1,)</f>
        <v>0</v>
      </c>
      <c r="AF66" s="130">
        <f t="shared" ref="AF66:AF97" si="70">AD66+AE66</f>
        <v>2225</v>
      </c>
      <c r="AG66" s="131">
        <f t="shared" ref="AG66:AG97" si="71">$AB66+($AP66*0.5)</f>
        <v>2550</v>
      </c>
      <c r="AH66" s="132">
        <f t="shared" ref="AH66:AH97" si="72">IF($D66="Yes",AG66*0.1,)</f>
        <v>0</v>
      </c>
      <c r="AI66" s="133">
        <f t="shared" ref="AI66:AI97" si="73">AG66+AH66</f>
        <v>2550</v>
      </c>
      <c r="AJ66" s="134">
        <f t="shared" ref="AJ66:AJ97" si="74">$AB66+($AP66*0.75)</f>
        <v>2875</v>
      </c>
      <c r="AK66" s="135">
        <f t="shared" ref="AK66:AK97" si="75">IF($D66="Yes",AJ66*0.1,)</f>
        <v>0</v>
      </c>
      <c r="AL66" s="136">
        <f t="shared" ref="AL66:AL97" si="76">AJ66+AK66</f>
        <v>2875</v>
      </c>
      <c r="AM66" s="137">
        <f t="shared" ref="AM66:AM97" si="77">IF($X66&lt;1,$W66,($AB66*$X66))</f>
        <v>3200</v>
      </c>
      <c r="AN66" s="137">
        <f t="shared" ref="AN66:AN97" si="78">IF($D66="Yes",AM66*0.1,)</f>
        <v>0</v>
      </c>
      <c r="AO66" s="138">
        <f t="shared" ref="AO66:AO97" si="79">AM66+AN66</f>
        <v>3200</v>
      </c>
      <c r="AP66" s="139">
        <f t="shared" ref="AP66:AP97" si="80">AM66-AB66</f>
        <v>1300</v>
      </c>
      <c r="AQ66" s="140">
        <f t="shared" ref="AQ66:AQ97" si="81">$AP66/$AB66</f>
        <v>0.68421052631578949</v>
      </c>
      <c r="AR66" s="141">
        <f t="shared" ref="AR66:AR97" si="82">AO66/$AO$98</f>
        <v>2.9986038406811409E-3</v>
      </c>
      <c r="AS66" s="142">
        <f t="shared" ref="AS66:AS97" si="83">_xlfn.RANK.EQ(AM66,$AM$2:$AM$97)</f>
        <v>81</v>
      </c>
      <c r="AT66" s="143" t="str">
        <f t="shared" ref="AT66:AT97" si="84">IF(AQ66&gt;1,AP66,"")</f>
        <v/>
      </c>
      <c r="AU66" s="144" t="str">
        <f t="shared" ref="AU66:AU97" si="85">IF(AQ66&gt;1.99,AP66,"")</f>
        <v/>
      </c>
      <c r="AV66" s="261">
        <v>3500</v>
      </c>
      <c r="AW66" s="146">
        <f t="shared" ref="AW66:AW97" si="86">IF(H66="A",AM66,"")</f>
        <v>3200</v>
      </c>
      <c r="AX66" s="146" t="str">
        <f t="shared" ref="AX66:AX97" si="87">IF(H66="B",AM66,"")</f>
        <v/>
      </c>
      <c r="AY66" s="146" t="str">
        <f t="shared" ref="AY66:AY97" si="88">IF(H66="C",AM66,"")</f>
        <v/>
      </c>
      <c r="AZ66" s="146" t="str">
        <f t="shared" ref="AZ66:AZ97" si="89">IF(H66="D",AM66,"")</f>
        <v/>
      </c>
      <c r="BA66" s="42">
        <v>62</v>
      </c>
    </row>
    <row r="67" spans="1:53" ht="0" hidden="1" customHeight="1" x14ac:dyDescent="0.25">
      <c r="A67" s="104" t="s">
        <v>138</v>
      </c>
      <c r="B67" s="152" t="s">
        <v>139</v>
      </c>
      <c r="C67" s="104">
        <v>1</v>
      </c>
      <c r="D67" s="106" t="s">
        <v>325</v>
      </c>
      <c r="E67" s="107">
        <v>325</v>
      </c>
      <c r="F67" s="107">
        <f t="shared" si="60"/>
        <v>85</v>
      </c>
      <c r="G67" s="108">
        <v>1489</v>
      </c>
      <c r="H67" s="108" t="s">
        <v>311</v>
      </c>
      <c r="I67" s="109">
        <f t="shared" si="61"/>
        <v>2.1155406278992781E-3</v>
      </c>
      <c r="J67" s="110">
        <f>G67*'Target revenue sheet'!$F$19</f>
        <v>506.26000000000005</v>
      </c>
      <c r="K67" s="111">
        <v>371</v>
      </c>
      <c r="L67" s="112">
        <f t="shared" si="62"/>
        <v>1.3707993866504092E-3</v>
      </c>
      <c r="M67" s="113">
        <f>K67*'Target revenue sheet'!$F$20</f>
        <v>330.19</v>
      </c>
      <c r="N67" s="114">
        <v>13359</v>
      </c>
      <c r="O67" s="115">
        <f t="shared" si="63"/>
        <v>3.56666573221573E-3</v>
      </c>
      <c r="P67" s="116">
        <f>N67*'Target revenue sheet'!$F$21</f>
        <v>935.13000000000011</v>
      </c>
      <c r="Q67" s="117">
        <v>3057</v>
      </c>
      <c r="R67" s="118">
        <f t="shared" si="64"/>
        <v>7.4243719520488056E-4</v>
      </c>
      <c r="S67" s="119">
        <f>Q67*'Target revenue sheet'!$F$22</f>
        <v>183.42</v>
      </c>
      <c r="T67" s="120">
        <f>'Target revenue sheet'!$F$2</f>
        <v>1000</v>
      </c>
      <c r="U67" s="121">
        <f>(C67-1)*'Target revenue sheet'!$F$1</f>
        <v>0</v>
      </c>
      <c r="V67" s="122">
        <f t="shared" si="65"/>
        <v>2955</v>
      </c>
      <c r="W67" s="123">
        <f>IF(V67&lt;'Target revenue sheet'!$F$3,'Target revenue sheet'!$F$3,V67)</f>
        <v>3200</v>
      </c>
      <c r="X67" s="123"/>
      <c r="Y67" s="124">
        <v>1750</v>
      </c>
      <c r="Z67" s="125">
        <f t="shared" si="66"/>
        <v>2.3861304463427438E-3</v>
      </c>
      <c r="AA67" s="126">
        <f t="shared" si="67"/>
        <v>58</v>
      </c>
      <c r="AB67" s="127">
        <v>1900</v>
      </c>
      <c r="AC67" s="127"/>
      <c r="AD67" s="128">
        <f t="shared" si="68"/>
        <v>2225</v>
      </c>
      <c r="AE67" s="129">
        <f t="shared" si="69"/>
        <v>0</v>
      </c>
      <c r="AF67" s="130">
        <f t="shared" si="70"/>
        <v>2225</v>
      </c>
      <c r="AG67" s="131">
        <f t="shared" si="71"/>
        <v>2550</v>
      </c>
      <c r="AH67" s="132">
        <f t="shared" si="72"/>
        <v>0</v>
      </c>
      <c r="AI67" s="133">
        <f t="shared" si="73"/>
        <v>2550</v>
      </c>
      <c r="AJ67" s="134">
        <f t="shared" si="74"/>
        <v>2875</v>
      </c>
      <c r="AK67" s="135">
        <f t="shared" si="75"/>
        <v>0</v>
      </c>
      <c r="AL67" s="136">
        <f t="shared" si="76"/>
        <v>2875</v>
      </c>
      <c r="AM67" s="137">
        <f t="shared" si="77"/>
        <v>3200</v>
      </c>
      <c r="AN67" s="137">
        <f t="shared" si="78"/>
        <v>0</v>
      </c>
      <c r="AO67" s="138">
        <f t="shared" si="79"/>
        <v>3200</v>
      </c>
      <c r="AP67" s="139">
        <f t="shared" si="80"/>
        <v>1300</v>
      </c>
      <c r="AQ67" s="140">
        <f t="shared" si="81"/>
        <v>0.68421052631578949</v>
      </c>
      <c r="AR67" s="141">
        <f t="shared" si="82"/>
        <v>2.9986038406811409E-3</v>
      </c>
      <c r="AS67" s="142">
        <f t="shared" si="83"/>
        <v>81</v>
      </c>
      <c r="AT67" s="143" t="str">
        <f t="shared" si="84"/>
        <v/>
      </c>
      <c r="AU67" s="144" t="str">
        <f t="shared" si="85"/>
        <v/>
      </c>
      <c r="AV67" s="261">
        <v>3500</v>
      </c>
      <c r="AW67" s="146">
        <f t="shared" si="86"/>
        <v>3200</v>
      </c>
      <c r="AX67" s="146" t="str">
        <f t="shared" si="87"/>
        <v/>
      </c>
      <c r="AY67" s="146" t="str">
        <f t="shared" si="88"/>
        <v/>
      </c>
      <c r="AZ67" s="146" t="str">
        <f t="shared" si="89"/>
        <v/>
      </c>
      <c r="BA67" s="42">
        <v>60</v>
      </c>
    </row>
    <row r="68" spans="1:53" ht="18" customHeight="1" x14ac:dyDescent="0.25">
      <c r="A68" s="104" t="s">
        <v>148</v>
      </c>
      <c r="B68" s="152" t="s">
        <v>149</v>
      </c>
      <c r="C68" s="104">
        <v>1</v>
      </c>
      <c r="D68" s="106" t="s">
        <v>325</v>
      </c>
      <c r="E68" s="107">
        <v>219</v>
      </c>
      <c r="F68" s="107">
        <f t="shared" si="60"/>
        <v>56</v>
      </c>
      <c r="G68" s="108">
        <v>2518</v>
      </c>
      <c r="H68" s="108" t="s">
        <v>313</v>
      </c>
      <c r="I68" s="109">
        <f t="shared" si="61"/>
        <v>3.5775227005039505E-3</v>
      </c>
      <c r="J68" s="110">
        <f>G68*'Target revenue sheet'!$F$19</f>
        <v>856.12000000000012</v>
      </c>
      <c r="K68" s="111">
        <v>812</v>
      </c>
      <c r="L68" s="112">
        <f t="shared" si="62"/>
        <v>3.0002401670084426E-3</v>
      </c>
      <c r="M68" s="113">
        <f>K68*'Target revenue sheet'!$F$20</f>
        <v>722.68000000000006</v>
      </c>
      <c r="N68" s="114">
        <v>18913</v>
      </c>
      <c r="O68" s="115">
        <f t="shared" si="63"/>
        <v>5.0495058756939966E-3</v>
      </c>
      <c r="P68" s="116">
        <f>N68*'Target revenue sheet'!$F$21</f>
        <v>1323.91</v>
      </c>
      <c r="Q68" s="117">
        <v>15762</v>
      </c>
      <c r="R68" s="118">
        <f t="shared" si="64"/>
        <v>3.8280324078571568E-3</v>
      </c>
      <c r="S68" s="119">
        <f>Q68*'Target revenue sheet'!$F$22</f>
        <v>945.71999999999991</v>
      </c>
      <c r="T68" s="120">
        <f>'Target revenue sheet'!$F$2</f>
        <v>1000</v>
      </c>
      <c r="U68" s="121">
        <f>(C68-1)*'Target revenue sheet'!$F$1</f>
        <v>0</v>
      </c>
      <c r="V68" s="122">
        <f t="shared" si="65"/>
        <v>4848.43</v>
      </c>
      <c r="W68" s="123">
        <f>IF(V68&lt;'Target revenue sheet'!$F$3,'Target revenue sheet'!$F$3,V68)</f>
        <v>4848.43</v>
      </c>
      <c r="X68" s="123"/>
      <c r="Y68" s="124">
        <v>1750</v>
      </c>
      <c r="Z68" s="125">
        <f t="shared" si="66"/>
        <v>2.3861304463427438E-3</v>
      </c>
      <c r="AA68" s="126">
        <f t="shared" si="67"/>
        <v>58</v>
      </c>
      <c r="AB68" s="127">
        <v>1900</v>
      </c>
      <c r="AC68" s="127"/>
      <c r="AD68" s="128">
        <f t="shared" si="68"/>
        <v>2637.1075000000001</v>
      </c>
      <c r="AE68" s="129">
        <f t="shared" si="69"/>
        <v>0</v>
      </c>
      <c r="AF68" s="130">
        <f t="shared" si="70"/>
        <v>2637.1075000000001</v>
      </c>
      <c r="AG68" s="131">
        <f t="shared" si="71"/>
        <v>3374.2150000000001</v>
      </c>
      <c r="AH68" s="132">
        <f t="shared" si="72"/>
        <v>0</v>
      </c>
      <c r="AI68" s="133">
        <f t="shared" si="73"/>
        <v>3374.2150000000001</v>
      </c>
      <c r="AJ68" s="134">
        <f t="shared" si="74"/>
        <v>4111.3225000000002</v>
      </c>
      <c r="AK68" s="135">
        <f t="shared" si="75"/>
        <v>0</v>
      </c>
      <c r="AL68" s="136">
        <f t="shared" si="76"/>
        <v>4111.3225000000002</v>
      </c>
      <c r="AM68" s="137">
        <f t="shared" si="77"/>
        <v>4848.43</v>
      </c>
      <c r="AN68" s="137">
        <f t="shared" si="78"/>
        <v>0</v>
      </c>
      <c r="AO68" s="138">
        <f t="shared" si="79"/>
        <v>4848.43</v>
      </c>
      <c r="AP68" s="139">
        <f t="shared" si="80"/>
        <v>2948.4300000000003</v>
      </c>
      <c r="AQ68" s="140">
        <f t="shared" si="81"/>
        <v>1.5518052631578949</v>
      </c>
      <c r="AR68" s="141">
        <f t="shared" si="82"/>
        <v>4.5432877560230202E-3</v>
      </c>
      <c r="AS68" s="142">
        <f t="shared" si="83"/>
        <v>56</v>
      </c>
      <c r="AT68" s="143">
        <f t="shared" si="84"/>
        <v>2948.4300000000003</v>
      </c>
      <c r="AU68" s="144" t="str">
        <f t="shared" si="85"/>
        <v/>
      </c>
      <c r="AV68" s="260">
        <v>875</v>
      </c>
      <c r="AW68" s="146" t="str">
        <f t="shared" si="86"/>
        <v/>
      </c>
      <c r="AX68" s="146">
        <f t="shared" si="87"/>
        <v>4848.43</v>
      </c>
      <c r="AY68" s="146" t="str">
        <f t="shared" si="88"/>
        <v/>
      </c>
      <c r="AZ68" s="146" t="str">
        <f t="shared" si="89"/>
        <v/>
      </c>
      <c r="BA68" s="42">
        <v>64</v>
      </c>
    </row>
    <row r="69" spans="1:53" ht="18" customHeight="1" x14ac:dyDescent="0.25">
      <c r="A69" s="147" t="s">
        <v>154</v>
      </c>
      <c r="B69" s="152" t="s">
        <v>155</v>
      </c>
      <c r="C69" s="147">
        <v>1</v>
      </c>
      <c r="D69" s="106" t="s">
        <v>325</v>
      </c>
      <c r="E69" s="107">
        <v>315</v>
      </c>
      <c r="F69" s="107">
        <f t="shared" si="60"/>
        <v>81</v>
      </c>
      <c r="G69" s="108">
        <v>950</v>
      </c>
      <c r="H69" s="108" t="s">
        <v>311</v>
      </c>
      <c r="I69" s="109">
        <f t="shared" si="61"/>
        <v>1.349740494630164E-3</v>
      </c>
      <c r="J69" s="110">
        <f>G69*'Target revenue sheet'!$F$19</f>
        <v>323</v>
      </c>
      <c r="K69" s="111">
        <v>477</v>
      </c>
      <c r="L69" s="112">
        <f t="shared" si="62"/>
        <v>1.7624563542648118E-3</v>
      </c>
      <c r="M69" s="113">
        <f>K69*'Target revenue sheet'!$F$20</f>
        <v>424.53000000000003</v>
      </c>
      <c r="N69" s="114">
        <v>11958</v>
      </c>
      <c r="O69" s="115">
        <f t="shared" si="63"/>
        <v>3.1926183715724004E-3</v>
      </c>
      <c r="P69" s="116">
        <f>N69*'Target revenue sheet'!$F$21</f>
        <v>837.06000000000006</v>
      </c>
      <c r="Q69" s="117">
        <v>8081</v>
      </c>
      <c r="R69" s="118">
        <f t="shared" si="64"/>
        <v>1.9625891313217667E-3</v>
      </c>
      <c r="S69" s="119">
        <f>Q69*'Target revenue sheet'!$F$22</f>
        <v>484.85999999999996</v>
      </c>
      <c r="T69" s="120">
        <f>'Target revenue sheet'!$F$2</f>
        <v>1000</v>
      </c>
      <c r="U69" s="121">
        <f>(C69-1)*'Target revenue sheet'!$F$1</f>
        <v>0</v>
      </c>
      <c r="V69" s="122">
        <f t="shared" si="65"/>
        <v>3069.4500000000003</v>
      </c>
      <c r="W69" s="123">
        <f>IF(V69&lt;'Target revenue sheet'!$F$3,'Target revenue sheet'!$F$3,V69)</f>
        <v>3200</v>
      </c>
      <c r="X69" s="123"/>
      <c r="Y69" s="124">
        <v>1750</v>
      </c>
      <c r="Z69" s="125">
        <f t="shared" si="66"/>
        <v>2.3861304463427438E-3</v>
      </c>
      <c r="AA69" s="126">
        <f t="shared" si="67"/>
        <v>58</v>
      </c>
      <c r="AB69" s="127">
        <v>1900</v>
      </c>
      <c r="AC69" s="127"/>
      <c r="AD69" s="128">
        <f t="shared" si="68"/>
        <v>2225</v>
      </c>
      <c r="AE69" s="129">
        <f t="shared" si="69"/>
        <v>0</v>
      </c>
      <c r="AF69" s="130">
        <f t="shared" si="70"/>
        <v>2225</v>
      </c>
      <c r="AG69" s="131">
        <f t="shared" si="71"/>
        <v>2550</v>
      </c>
      <c r="AH69" s="132">
        <f t="shared" si="72"/>
        <v>0</v>
      </c>
      <c r="AI69" s="133">
        <f t="shared" si="73"/>
        <v>2550</v>
      </c>
      <c r="AJ69" s="134">
        <f t="shared" si="74"/>
        <v>2875</v>
      </c>
      <c r="AK69" s="135">
        <f t="shared" si="75"/>
        <v>0</v>
      </c>
      <c r="AL69" s="136">
        <f t="shared" si="76"/>
        <v>2875</v>
      </c>
      <c r="AM69" s="137">
        <f t="shared" si="77"/>
        <v>3200</v>
      </c>
      <c r="AN69" s="137">
        <f t="shared" si="78"/>
        <v>0</v>
      </c>
      <c r="AO69" s="138">
        <f t="shared" si="79"/>
        <v>3200</v>
      </c>
      <c r="AP69" s="139">
        <f t="shared" si="80"/>
        <v>1300</v>
      </c>
      <c r="AQ69" s="140">
        <f t="shared" si="81"/>
        <v>0.68421052631578949</v>
      </c>
      <c r="AR69" s="141">
        <f t="shared" si="82"/>
        <v>2.9986038406811409E-3</v>
      </c>
      <c r="AS69" s="142">
        <f t="shared" si="83"/>
        <v>81</v>
      </c>
      <c r="AT69" s="143" t="str">
        <f t="shared" si="84"/>
        <v/>
      </c>
      <c r="AU69" s="144" t="str">
        <f t="shared" si="85"/>
        <v/>
      </c>
      <c r="AV69" s="260">
        <v>2625</v>
      </c>
      <c r="AW69" s="146">
        <f t="shared" si="86"/>
        <v>3200</v>
      </c>
      <c r="AX69" s="146" t="str">
        <f t="shared" si="87"/>
        <v/>
      </c>
      <c r="AY69" s="146" t="str">
        <f t="shared" si="88"/>
        <v/>
      </c>
      <c r="AZ69" s="146" t="str">
        <f t="shared" si="89"/>
        <v/>
      </c>
      <c r="BA69" s="42">
        <v>67</v>
      </c>
    </row>
    <row r="70" spans="1:53" ht="18" customHeight="1" x14ac:dyDescent="0.25">
      <c r="A70" s="148" t="s">
        <v>156</v>
      </c>
      <c r="B70" s="149" t="s">
        <v>157</v>
      </c>
      <c r="C70" s="148">
        <v>1</v>
      </c>
      <c r="D70" s="150" t="s">
        <v>323</v>
      </c>
      <c r="E70" s="107">
        <v>364</v>
      </c>
      <c r="F70" s="107">
        <f t="shared" si="60"/>
        <v>94</v>
      </c>
      <c r="G70" s="108">
        <v>658</v>
      </c>
      <c r="H70" s="108" t="s">
        <v>311</v>
      </c>
      <c r="I70" s="109">
        <f t="shared" si="61"/>
        <v>9.3487288996489258E-4</v>
      </c>
      <c r="J70" s="110">
        <f>G70*'Target revenue sheet'!$F$19</f>
        <v>223.72000000000003</v>
      </c>
      <c r="K70" s="111">
        <v>280</v>
      </c>
      <c r="L70" s="112">
        <f t="shared" si="62"/>
        <v>1.0345655748304975E-3</v>
      </c>
      <c r="M70" s="113">
        <f>K70*'Target revenue sheet'!$F$20</f>
        <v>249.20000000000002</v>
      </c>
      <c r="N70" s="114">
        <v>10550</v>
      </c>
      <c r="O70" s="115">
        <f t="shared" si="63"/>
        <v>2.8167021090557639E-3</v>
      </c>
      <c r="P70" s="116">
        <f>N70*'Target revenue sheet'!$F$21</f>
        <v>738.50000000000011</v>
      </c>
      <c r="Q70" s="117">
        <v>2254</v>
      </c>
      <c r="R70" s="118">
        <f t="shared" si="64"/>
        <v>5.4741689172123028E-4</v>
      </c>
      <c r="S70" s="119">
        <f>Q70*'Target revenue sheet'!$F$22</f>
        <v>135.24</v>
      </c>
      <c r="T70" s="120">
        <f>'Target revenue sheet'!$F$2</f>
        <v>1000</v>
      </c>
      <c r="U70" s="121">
        <f>(C70-1)*'Target revenue sheet'!$F$1</f>
        <v>0</v>
      </c>
      <c r="V70" s="122">
        <f t="shared" si="65"/>
        <v>2346.66</v>
      </c>
      <c r="W70" s="123">
        <f>IF(V70&lt;'Target revenue sheet'!$F$3,'Target revenue sheet'!$F$3,V70)</f>
        <v>3200</v>
      </c>
      <c r="X70" s="123"/>
      <c r="Y70" s="124">
        <v>1925</v>
      </c>
      <c r="Z70" s="125">
        <f t="shared" si="66"/>
        <v>2.6247434909770183E-3</v>
      </c>
      <c r="AA70" s="126">
        <f t="shared" si="67"/>
        <v>48</v>
      </c>
      <c r="AB70" s="151">
        <v>1900</v>
      </c>
      <c r="AC70" s="127">
        <v>2090</v>
      </c>
      <c r="AD70" s="128">
        <f t="shared" si="68"/>
        <v>2225</v>
      </c>
      <c r="AE70" s="129">
        <f t="shared" si="69"/>
        <v>222.5</v>
      </c>
      <c r="AF70" s="130">
        <f t="shared" si="70"/>
        <v>2447.5</v>
      </c>
      <c r="AG70" s="131">
        <f t="shared" si="71"/>
        <v>2550</v>
      </c>
      <c r="AH70" s="132">
        <f t="shared" si="72"/>
        <v>255</v>
      </c>
      <c r="AI70" s="133">
        <f t="shared" si="73"/>
        <v>2805</v>
      </c>
      <c r="AJ70" s="134">
        <f t="shared" si="74"/>
        <v>2875</v>
      </c>
      <c r="AK70" s="135">
        <f t="shared" si="75"/>
        <v>287.5</v>
      </c>
      <c r="AL70" s="136">
        <f t="shared" si="76"/>
        <v>3162.5</v>
      </c>
      <c r="AM70" s="137">
        <f t="shared" si="77"/>
        <v>3200</v>
      </c>
      <c r="AN70" s="137">
        <f t="shared" si="78"/>
        <v>320</v>
      </c>
      <c r="AO70" s="138">
        <f t="shared" si="79"/>
        <v>3520</v>
      </c>
      <c r="AP70" s="139">
        <f t="shared" si="80"/>
        <v>1300</v>
      </c>
      <c r="AQ70" s="140">
        <f t="shared" si="81"/>
        <v>0.68421052631578949</v>
      </c>
      <c r="AR70" s="141">
        <f t="shared" si="82"/>
        <v>3.2984642247492553E-3</v>
      </c>
      <c r="AS70" s="142">
        <f t="shared" si="83"/>
        <v>81</v>
      </c>
      <c r="AT70" s="143" t="str">
        <f t="shared" si="84"/>
        <v/>
      </c>
      <c r="AU70" s="144" t="str">
        <f t="shared" si="85"/>
        <v/>
      </c>
      <c r="AV70" s="260">
        <v>2625</v>
      </c>
      <c r="AW70" s="146">
        <f t="shared" si="86"/>
        <v>3200</v>
      </c>
      <c r="AX70" s="146" t="str">
        <f t="shared" si="87"/>
        <v/>
      </c>
      <c r="AY70" s="146" t="str">
        <f t="shared" si="88"/>
        <v/>
      </c>
      <c r="AZ70" s="146" t="str">
        <f t="shared" si="89"/>
        <v/>
      </c>
      <c r="BA70" s="42">
        <v>68</v>
      </c>
    </row>
    <row r="71" spans="1:53" ht="18" customHeight="1" x14ac:dyDescent="0.25">
      <c r="A71" s="104" t="s">
        <v>160</v>
      </c>
      <c r="B71" s="105" t="s">
        <v>161</v>
      </c>
      <c r="C71" s="104">
        <v>1</v>
      </c>
      <c r="D71" s="106" t="s">
        <v>325</v>
      </c>
      <c r="E71" s="107">
        <v>7</v>
      </c>
      <c r="F71" s="107">
        <f t="shared" si="60"/>
        <v>2</v>
      </c>
      <c r="G71" s="108">
        <v>52736</v>
      </c>
      <c r="H71" s="108" t="s">
        <v>314</v>
      </c>
      <c r="I71" s="109">
        <f t="shared" si="61"/>
        <v>7.492622602612245E-2</v>
      </c>
      <c r="J71" s="110">
        <f>G71*'Target revenue sheet'!$F$19</f>
        <v>17930.240000000002</v>
      </c>
      <c r="K71" s="111">
        <v>36463</v>
      </c>
      <c r="L71" s="112">
        <f t="shared" si="62"/>
        <v>0.13472630198230154</v>
      </c>
      <c r="M71" s="113">
        <f>K71*'Target revenue sheet'!$F$20</f>
        <v>32452.07</v>
      </c>
      <c r="N71" s="114">
        <v>181456</v>
      </c>
      <c r="O71" s="115">
        <f t="shared" si="63"/>
        <v>4.8446208331831539E-2</v>
      </c>
      <c r="P71" s="116">
        <f>N71*'Target revenue sheet'!$F$21</f>
        <v>12701.920000000002</v>
      </c>
      <c r="Q71" s="117">
        <v>595120</v>
      </c>
      <c r="R71" s="118">
        <f t="shared" si="64"/>
        <v>0.14453360275117061</v>
      </c>
      <c r="S71" s="119">
        <f>Q71*'Target revenue sheet'!$F$22</f>
        <v>35707.199999999997</v>
      </c>
      <c r="T71" s="120">
        <f>'Target revenue sheet'!$F$2</f>
        <v>1000</v>
      </c>
      <c r="U71" s="121">
        <f>(C71-1)*'Target revenue sheet'!$F$1</f>
        <v>0</v>
      </c>
      <c r="V71" s="122">
        <f t="shared" si="65"/>
        <v>99791.43</v>
      </c>
      <c r="W71" s="123">
        <f>IF(V71&lt;'Target revenue sheet'!$F$3,'Target revenue sheet'!$F$3,V71)</f>
        <v>99791.43</v>
      </c>
      <c r="X71" s="123">
        <v>1.04</v>
      </c>
      <c r="Y71" s="124">
        <v>64212</v>
      </c>
      <c r="Z71" s="125">
        <f t="shared" si="66"/>
        <v>8.7553261840320154E-2</v>
      </c>
      <c r="AA71" s="126">
        <f t="shared" si="67"/>
        <v>2</v>
      </c>
      <c r="AB71" s="127">
        <v>66138</v>
      </c>
      <c r="AC71" s="127"/>
      <c r="AD71" s="128">
        <f t="shared" si="68"/>
        <v>66799.38</v>
      </c>
      <c r="AE71" s="129">
        <f t="shared" si="69"/>
        <v>0</v>
      </c>
      <c r="AF71" s="130">
        <f t="shared" si="70"/>
        <v>66799.38</v>
      </c>
      <c r="AG71" s="131">
        <f t="shared" si="71"/>
        <v>67460.760000000009</v>
      </c>
      <c r="AH71" s="132">
        <f t="shared" si="72"/>
        <v>0</v>
      </c>
      <c r="AI71" s="133">
        <f t="shared" si="73"/>
        <v>67460.760000000009</v>
      </c>
      <c r="AJ71" s="134">
        <f t="shared" si="74"/>
        <v>68122.14</v>
      </c>
      <c r="AK71" s="135">
        <f t="shared" si="75"/>
        <v>0</v>
      </c>
      <c r="AL71" s="136">
        <f t="shared" si="76"/>
        <v>68122.14</v>
      </c>
      <c r="AM71" s="137">
        <f t="shared" si="77"/>
        <v>68783.520000000004</v>
      </c>
      <c r="AN71" s="137">
        <f t="shared" si="78"/>
        <v>0</v>
      </c>
      <c r="AO71" s="138">
        <f t="shared" si="79"/>
        <v>68783.520000000004</v>
      </c>
      <c r="AP71" s="139">
        <f t="shared" si="80"/>
        <v>2645.5200000000041</v>
      </c>
      <c r="AQ71" s="140">
        <f t="shared" si="81"/>
        <v>4.0000000000000063E-2</v>
      </c>
      <c r="AR71" s="141">
        <f t="shared" si="82"/>
        <v>6.4454539764865024E-2</v>
      </c>
      <c r="AS71" s="142">
        <f t="shared" si="83"/>
        <v>2</v>
      </c>
      <c r="AT71" s="143" t="str">
        <f t="shared" si="84"/>
        <v/>
      </c>
      <c r="AU71" s="144" t="str">
        <f t="shared" si="85"/>
        <v/>
      </c>
      <c r="AV71" s="260">
        <v>1750</v>
      </c>
      <c r="AW71" s="146" t="str">
        <f t="shared" si="86"/>
        <v/>
      </c>
      <c r="AX71" s="146" t="str">
        <f t="shared" si="87"/>
        <v/>
      </c>
      <c r="AY71" s="146" t="str">
        <f t="shared" si="88"/>
        <v/>
      </c>
      <c r="AZ71" s="146">
        <f t="shared" si="89"/>
        <v>68783.520000000004</v>
      </c>
      <c r="BA71" s="42">
        <v>70</v>
      </c>
    </row>
    <row r="72" spans="1:53" ht="18" customHeight="1" x14ac:dyDescent="0.25">
      <c r="A72" s="153" t="s">
        <v>158</v>
      </c>
      <c r="B72" s="156" t="s">
        <v>159</v>
      </c>
      <c r="C72" s="153">
        <v>1</v>
      </c>
      <c r="D72" s="150" t="s">
        <v>323</v>
      </c>
      <c r="E72" s="107">
        <v>372</v>
      </c>
      <c r="F72" s="107">
        <f t="shared" si="60"/>
        <v>96</v>
      </c>
      <c r="G72" s="108">
        <v>1147</v>
      </c>
      <c r="H72" s="108" t="s">
        <v>311</v>
      </c>
      <c r="I72" s="109">
        <f t="shared" si="61"/>
        <v>1.629634049832419E-3</v>
      </c>
      <c r="J72" s="110">
        <f>G72*'Target revenue sheet'!$F$19</f>
        <v>389.98</v>
      </c>
      <c r="K72" s="111">
        <v>66</v>
      </c>
      <c r="L72" s="112">
        <f t="shared" si="62"/>
        <v>2.4386188549576013E-4</v>
      </c>
      <c r="M72" s="113">
        <f>K72*'Target revenue sheet'!$F$20</f>
        <v>58.74</v>
      </c>
      <c r="N72" s="114">
        <v>4710</v>
      </c>
      <c r="O72" s="115">
        <f t="shared" si="63"/>
        <v>1.2575039747538055E-3</v>
      </c>
      <c r="P72" s="116">
        <f>N72*'Target revenue sheet'!$F$21</f>
        <v>329.70000000000005</v>
      </c>
      <c r="Q72" s="117">
        <v>577</v>
      </c>
      <c r="R72" s="118">
        <f t="shared" si="64"/>
        <v>1.4013289552934776E-4</v>
      </c>
      <c r="S72" s="119">
        <f>Q72*'Target revenue sheet'!$F$22</f>
        <v>34.619999999999997</v>
      </c>
      <c r="T72" s="120">
        <f>'Target revenue sheet'!$F$2</f>
        <v>1000</v>
      </c>
      <c r="U72" s="121">
        <f>(C72-1)*'Target revenue sheet'!$F$1</f>
        <v>0</v>
      </c>
      <c r="V72" s="122">
        <f t="shared" si="65"/>
        <v>1813.04</v>
      </c>
      <c r="W72" s="123">
        <f>IF(V72&lt;'Target revenue sheet'!$F$3,'Target revenue sheet'!$F$3,V72)</f>
        <v>3200</v>
      </c>
      <c r="X72" s="123"/>
      <c r="Y72" s="124">
        <v>1925</v>
      </c>
      <c r="Z72" s="125">
        <f t="shared" si="66"/>
        <v>2.6247434909770183E-3</v>
      </c>
      <c r="AA72" s="126">
        <f t="shared" si="67"/>
        <v>48</v>
      </c>
      <c r="AB72" s="151">
        <v>1900</v>
      </c>
      <c r="AC72" s="127">
        <v>2090</v>
      </c>
      <c r="AD72" s="128">
        <f t="shared" si="68"/>
        <v>2225</v>
      </c>
      <c r="AE72" s="129">
        <f t="shared" si="69"/>
        <v>222.5</v>
      </c>
      <c r="AF72" s="130">
        <f t="shared" si="70"/>
        <v>2447.5</v>
      </c>
      <c r="AG72" s="131">
        <f t="shared" si="71"/>
        <v>2550</v>
      </c>
      <c r="AH72" s="132">
        <f t="shared" si="72"/>
        <v>255</v>
      </c>
      <c r="AI72" s="133">
        <f t="shared" si="73"/>
        <v>2805</v>
      </c>
      <c r="AJ72" s="134">
        <f t="shared" si="74"/>
        <v>2875</v>
      </c>
      <c r="AK72" s="135">
        <f t="shared" si="75"/>
        <v>287.5</v>
      </c>
      <c r="AL72" s="136">
        <f t="shared" si="76"/>
        <v>3162.5</v>
      </c>
      <c r="AM72" s="137">
        <f t="shared" si="77"/>
        <v>3200</v>
      </c>
      <c r="AN72" s="137">
        <f t="shared" si="78"/>
        <v>320</v>
      </c>
      <c r="AO72" s="138">
        <f t="shared" si="79"/>
        <v>3520</v>
      </c>
      <c r="AP72" s="139">
        <f t="shared" si="80"/>
        <v>1300</v>
      </c>
      <c r="AQ72" s="140">
        <f t="shared" si="81"/>
        <v>0.68421052631578949</v>
      </c>
      <c r="AR72" s="141">
        <f t="shared" si="82"/>
        <v>3.2984642247492553E-3</v>
      </c>
      <c r="AS72" s="142">
        <f t="shared" si="83"/>
        <v>81</v>
      </c>
      <c r="AT72" s="143" t="str">
        <f t="shared" si="84"/>
        <v/>
      </c>
      <c r="AU72" s="144" t="str">
        <f t="shared" si="85"/>
        <v/>
      </c>
      <c r="AV72" s="261">
        <v>3500</v>
      </c>
      <c r="AW72" s="146">
        <f t="shared" si="86"/>
        <v>3200</v>
      </c>
      <c r="AX72" s="146" t="str">
        <f t="shared" si="87"/>
        <v/>
      </c>
      <c r="AY72" s="146" t="str">
        <f t="shared" si="88"/>
        <v/>
      </c>
      <c r="AZ72" s="146" t="str">
        <f t="shared" si="89"/>
        <v/>
      </c>
      <c r="BA72" s="42">
        <v>69</v>
      </c>
    </row>
    <row r="73" spans="1:53" ht="18" customHeight="1" x14ac:dyDescent="0.25">
      <c r="A73" s="104" t="s">
        <v>164</v>
      </c>
      <c r="B73" s="152" t="s">
        <v>165</v>
      </c>
      <c r="C73" s="104">
        <v>1</v>
      </c>
      <c r="D73" s="106" t="s">
        <v>325</v>
      </c>
      <c r="E73" s="107">
        <v>270</v>
      </c>
      <c r="F73" s="107">
        <f t="shared" si="60"/>
        <v>71</v>
      </c>
      <c r="G73" s="108">
        <v>1386</v>
      </c>
      <c r="H73" s="108" t="s">
        <v>311</v>
      </c>
      <c r="I73" s="109">
        <f t="shared" si="61"/>
        <v>1.9692003426920075E-3</v>
      </c>
      <c r="J73" s="110">
        <f>G73*'Target revenue sheet'!$F$19</f>
        <v>471.24</v>
      </c>
      <c r="K73" s="111">
        <v>484</v>
      </c>
      <c r="L73" s="112">
        <f t="shared" si="62"/>
        <v>1.7883204936355742E-3</v>
      </c>
      <c r="M73" s="113">
        <f>K73*'Target revenue sheet'!$F$20</f>
        <v>430.76</v>
      </c>
      <c r="N73" s="114">
        <v>22394</v>
      </c>
      <c r="O73" s="115">
        <f t="shared" si="63"/>
        <v>5.9788840786914486E-3</v>
      </c>
      <c r="P73" s="116">
        <f>N73*'Target revenue sheet'!$F$21</f>
        <v>1567.5800000000002</v>
      </c>
      <c r="Q73" s="117">
        <v>7536</v>
      </c>
      <c r="R73" s="118">
        <f t="shared" si="64"/>
        <v>1.8302279041753288E-3</v>
      </c>
      <c r="S73" s="119">
        <f>Q73*'Target revenue sheet'!$F$22</f>
        <v>452.15999999999997</v>
      </c>
      <c r="T73" s="120">
        <f>'Target revenue sheet'!$F$2</f>
        <v>1000</v>
      </c>
      <c r="U73" s="121">
        <f>(C73-1)*'Target revenue sheet'!$F$1</f>
        <v>0</v>
      </c>
      <c r="V73" s="122">
        <f t="shared" si="65"/>
        <v>3921.74</v>
      </c>
      <c r="W73" s="123">
        <f>IF(V73&lt;'Target revenue sheet'!$F$3,'Target revenue sheet'!$F$3,V73)</f>
        <v>3921.74</v>
      </c>
      <c r="X73" s="123"/>
      <c r="Y73" s="124">
        <v>1750</v>
      </c>
      <c r="Z73" s="125">
        <f t="shared" si="66"/>
        <v>2.3861304463427438E-3</v>
      </c>
      <c r="AA73" s="126">
        <f t="shared" si="67"/>
        <v>58</v>
      </c>
      <c r="AB73" s="127">
        <v>1900</v>
      </c>
      <c r="AC73" s="127"/>
      <c r="AD73" s="128">
        <f t="shared" si="68"/>
        <v>2405.4349999999999</v>
      </c>
      <c r="AE73" s="129">
        <f t="shared" si="69"/>
        <v>0</v>
      </c>
      <c r="AF73" s="130">
        <f t="shared" si="70"/>
        <v>2405.4349999999999</v>
      </c>
      <c r="AG73" s="131">
        <f t="shared" si="71"/>
        <v>2910.87</v>
      </c>
      <c r="AH73" s="132">
        <f t="shared" si="72"/>
        <v>0</v>
      </c>
      <c r="AI73" s="133">
        <f t="shared" si="73"/>
        <v>2910.87</v>
      </c>
      <c r="AJ73" s="134">
        <f t="shared" si="74"/>
        <v>3416.3049999999998</v>
      </c>
      <c r="AK73" s="135">
        <f t="shared" si="75"/>
        <v>0</v>
      </c>
      <c r="AL73" s="136">
        <f t="shared" si="76"/>
        <v>3416.3049999999998</v>
      </c>
      <c r="AM73" s="137">
        <f t="shared" si="77"/>
        <v>3921.74</v>
      </c>
      <c r="AN73" s="137">
        <f t="shared" si="78"/>
        <v>0</v>
      </c>
      <c r="AO73" s="138">
        <f t="shared" si="79"/>
        <v>3921.74</v>
      </c>
      <c r="AP73" s="139">
        <f t="shared" si="80"/>
        <v>2021.7399999999998</v>
      </c>
      <c r="AQ73" s="140">
        <f t="shared" si="81"/>
        <v>1.0640736842105263</v>
      </c>
      <c r="AR73" s="141">
        <f t="shared" si="82"/>
        <v>3.6749201956727678E-3</v>
      </c>
      <c r="AS73" s="142">
        <f t="shared" si="83"/>
        <v>68</v>
      </c>
      <c r="AT73" s="143">
        <f t="shared" si="84"/>
        <v>2021.7399999999998</v>
      </c>
      <c r="AU73" s="144" t="str">
        <f t="shared" si="85"/>
        <v/>
      </c>
      <c r="AV73" s="260">
        <v>1750</v>
      </c>
      <c r="AW73" s="146">
        <f t="shared" si="86"/>
        <v>3921.74</v>
      </c>
      <c r="AX73" s="146" t="str">
        <f t="shared" si="87"/>
        <v/>
      </c>
      <c r="AY73" s="146" t="str">
        <f t="shared" si="88"/>
        <v/>
      </c>
      <c r="AZ73" s="146" t="str">
        <f t="shared" si="89"/>
        <v/>
      </c>
      <c r="BA73" s="42">
        <v>72</v>
      </c>
    </row>
    <row r="74" spans="1:53" ht="18" customHeight="1" x14ac:dyDescent="0.25">
      <c r="A74" s="104" t="s">
        <v>171</v>
      </c>
      <c r="B74" s="105" t="s">
        <v>172</v>
      </c>
      <c r="C74" s="104">
        <v>7</v>
      </c>
      <c r="D74" s="106" t="s">
        <v>325</v>
      </c>
      <c r="E74" s="107">
        <v>5</v>
      </c>
      <c r="F74" s="107">
        <f t="shared" si="60"/>
        <v>1</v>
      </c>
      <c r="G74" s="108">
        <v>113150</v>
      </c>
      <c r="H74" s="108" t="s">
        <v>314</v>
      </c>
      <c r="I74" s="109">
        <f t="shared" si="61"/>
        <v>0.16076119680779269</v>
      </c>
      <c r="J74" s="110">
        <f>G74*'Target revenue sheet'!$F$19</f>
        <v>38471</v>
      </c>
      <c r="K74" s="111">
        <v>38989</v>
      </c>
      <c r="L74" s="112">
        <f t="shared" si="62"/>
        <v>0.14405956141809381</v>
      </c>
      <c r="M74" s="113">
        <f>K74*'Target revenue sheet'!$F$20</f>
        <v>34700.21</v>
      </c>
      <c r="N74" s="114">
        <v>442761</v>
      </c>
      <c r="O74" s="115">
        <f t="shared" si="63"/>
        <v>0.11821098033247765</v>
      </c>
      <c r="P74" s="116">
        <f>N74*'Target revenue sheet'!$F$21</f>
        <v>30993.270000000004</v>
      </c>
      <c r="Q74" s="117">
        <v>588730</v>
      </c>
      <c r="R74" s="118">
        <f t="shared" si="64"/>
        <v>0.14298169772095826</v>
      </c>
      <c r="S74" s="119">
        <f>Q74*'Target revenue sheet'!$F$22</f>
        <v>35323.799999999996</v>
      </c>
      <c r="T74" s="120">
        <f>'Target revenue sheet'!$F$2</f>
        <v>1000</v>
      </c>
      <c r="U74" s="121">
        <f>(C74-1)*'Target revenue sheet'!$F$1</f>
        <v>12000</v>
      </c>
      <c r="V74" s="122">
        <f t="shared" si="65"/>
        <v>152488.28</v>
      </c>
      <c r="W74" s="123">
        <f>IF(V74&lt;'Target revenue sheet'!$F$3,'Target revenue sheet'!$F$3,V74)</f>
        <v>152488.28</v>
      </c>
      <c r="X74" s="123">
        <v>1.04</v>
      </c>
      <c r="Y74" s="124">
        <v>86024</v>
      </c>
      <c r="Z74" s="125">
        <f t="shared" si="66"/>
        <v>0.11729399172353611</v>
      </c>
      <c r="AA74" s="126">
        <f>_xlfn.RANK.EQ(Y74,$Y$2:$Y$97, 0)</f>
        <v>1</v>
      </c>
      <c r="AB74" s="127">
        <v>88605</v>
      </c>
      <c r="AC74" s="127"/>
      <c r="AD74" s="128">
        <f t="shared" si="68"/>
        <v>89491.05</v>
      </c>
      <c r="AE74" s="129">
        <f t="shared" si="69"/>
        <v>0</v>
      </c>
      <c r="AF74" s="130">
        <f t="shared" si="70"/>
        <v>89491.05</v>
      </c>
      <c r="AG74" s="131">
        <f t="shared" si="71"/>
        <v>90377.1</v>
      </c>
      <c r="AH74" s="132">
        <f t="shared" si="72"/>
        <v>0</v>
      </c>
      <c r="AI74" s="133">
        <f t="shared" si="73"/>
        <v>90377.1</v>
      </c>
      <c r="AJ74" s="134">
        <f t="shared" si="74"/>
        <v>91263.15</v>
      </c>
      <c r="AK74" s="135">
        <f t="shared" si="75"/>
        <v>0</v>
      </c>
      <c r="AL74" s="136">
        <f t="shared" si="76"/>
        <v>91263.15</v>
      </c>
      <c r="AM74" s="137">
        <f t="shared" si="77"/>
        <v>92149.2</v>
      </c>
      <c r="AN74" s="137">
        <f t="shared" si="78"/>
        <v>0</v>
      </c>
      <c r="AO74" s="138">
        <f t="shared" si="79"/>
        <v>92149.2</v>
      </c>
      <c r="AP74" s="139">
        <f t="shared" si="80"/>
        <v>3544.1999999999971</v>
      </c>
      <c r="AQ74" s="140">
        <f t="shared" si="81"/>
        <v>3.9999999999999966E-2</v>
      </c>
      <c r="AR74" s="141">
        <f t="shared" si="82"/>
        <v>8.6349670323654565E-2</v>
      </c>
      <c r="AS74" s="142">
        <f t="shared" si="83"/>
        <v>1</v>
      </c>
      <c r="AT74" s="143" t="str">
        <f t="shared" si="84"/>
        <v/>
      </c>
      <c r="AU74" s="144" t="str">
        <f t="shared" si="85"/>
        <v/>
      </c>
      <c r="AV74" s="260">
        <v>1750</v>
      </c>
      <c r="AW74" s="146" t="str">
        <f t="shared" si="86"/>
        <v/>
      </c>
      <c r="AX74" s="146" t="str">
        <f t="shared" si="87"/>
        <v/>
      </c>
      <c r="AY74" s="146" t="str">
        <f t="shared" si="88"/>
        <v/>
      </c>
      <c r="AZ74" s="146">
        <f t="shared" si="89"/>
        <v>92149.2</v>
      </c>
      <c r="BA74" s="42">
        <v>75</v>
      </c>
    </row>
    <row r="75" spans="1:53" ht="18" customHeight="1" x14ac:dyDescent="0.25">
      <c r="A75" s="147" t="s">
        <v>169</v>
      </c>
      <c r="B75" s="105" t="s">
        <v>170</v>
      </c>
      <c r="C75" s="147">
        <v>1</v>
      </c>
      <c r="D75" s="106" t="s">
        <v>325</v>
      </c>
      <c r="E75" s="107">
        <v>111</v>
      </c>
      <c r="F75" s="107">
        <f t="shared" si="60"/>
        <v>24</v>
      </c>
      <c r="G75" s="108">
        <v>5908</v>
      </c>
      <c r="H75" s="108" t="s">
        <v>312</v>
      </c>
      <c r="I75" s="109">
        <f t="shared" si="61"/>
        <v>8.393965097131589E-3</v>
      </c>
      <c r="J75" s="110">
        <f>G75*'Target revenue sheet'!$F$19</f>
        <v>2008.7200000000003</v>
      </c>
      <c r="K75" s="111">
        <v>1382</v>
      </c>
      <c r="L75" s="112">
        <f t="shared" si="62"/>
        <v>5.1063200871990988E-3</v>
      </c>
      <c r="M75" s="113">
        <f>K75*'Target revenue sheet'!$F$20</f>
        <v>1229.98</v>
      </c>
      <c r="N75" s="114">
        <v>38781</v>
      </c>
      <c r="O75" s="115">
        <f t="shared" si="63"/>
        <v>1.0353983364103468E-2</v>
      </c>
      <c r="P75" s="116">
        <f>N75*'Target revenue sheet'!$F$21</f>
        <v>2714.67</v>
      </c>
      <c r="Q75" s="117">
        <v>38101</v>
      </c>
      <c r="R75" s="118">
        <f t="shared" si="64"/>
        <v>9.2533855330393048E-3</v>
      </c>
      <c r="S75" s="119">
        <f>Q75*'Target revenue sheet'!$F$22</f>
        <v>2286.06</v>
      </c>
      <c r="T75" s="120">
        <f>'Target revenue sheet'!$F$2</f>
        <v>1000</v>
      </c>
      <c r="U75" s="121">
        <f>(C75-1)*'Target revenue sheet'!$F$1</f>
        <v>0</v>
      </c>
      <c r="V75" s="122">
        <f t="shared" si="65"/>
        <v>9239.43</v>
      </c>
      <c r="W75" s="123">
        <f>IF(V75&lt;'Target revenue sheet'!$F$3,'Target revenue sheet'!$F$3,V75)</f>
        <v>9239.43</v>
      </c>
      <c r="X75" s="123">
        <v>1.04</v>
      </c>
      <c r="Y75" s="124">
        <v>8849</v>
      </c>
      <c r="Z75" s="125">
        <f t="shared" si="66"/>
        <v>1.2065639039821108E-2</v>
      </c>
      <c r="AA75" s="126">
        <f t="shared" ref="AA75:AA97" si="90">_xlfn.RANK.EQ(Y75,$Y$2:$Y$97)</f>
        <v>16</v>
      </c>
      <c r="AB75" s="127">
        <v>9114</v>
      </c>
      <c r="AC75" s="127"/>
      <c r="AD75" s="128">
        <f t="shared" si="68"/>
        <v>9205.14</v>
      </c>
      <c r="AE75" s="129">
        <f t="shared" si="69"/>
        <v>0</v>
      </c>
      <c r="AF75" s="130">
        <f t="shared" si="70"/>
        <v>9205.14</v>
      </c>
      <c r="AG75" s="131">
        <f t="shared" si="71"/>
        <v>9296.2799999999988</v>
      </c>
      <c r="AH75" s="132">
        <f t="shared" si="72"/>
        <v>0</v>
      </c>
      <c r="AI75" s="133">
        <f t="shared" si="73"/>
        <v>9296.2799999999988</v>
      </c>
      <c r="AJ75" s="134">
        <f t="shared" si="74"/>
        <v>9387.42</v>
      </c>
      <c r="AK75" s="135">
        <f t="shared" si="75"/>
        <v>0</v>
      </c>
      <c r="AL75" s="136">
        <f t="shared" si="76"/>
        <v>9387.42</v>
      </c>
      <c r="AM75" s="137">
        <f t="shared" si="77"/>
        <v>9478.56</v>
      </c>
      <c r="AN75" s="137">
        <f t="shared" si="78"/>
        <v>0</v>
      </c>
      <c r="AO75" s="138">
        <f t="shared" si="79"/>
        <v>9478.56</v>
      </c>
      <c r="AP75" s="139">
        <f t="shared" si="80"/>
        <v>364.55999999999949</v>
      </c>
      <c r="AQ75" s="140">
        <f t="shared" si="81"/>
        <v>3.9999999999999945E-2</v>
      </c>
      <c r="AR75" s="141">
        <f t="shared" si="82"/>
        <v>8.8820145062895733E-3</v>
      </c>
      <c r="AS75" s="142">
        <f t="shared" si="83"/>
        <v>23</v>
      </c>
      <c r="AT75" s="143" t="str">
        <f t="shared" si="84"/>
        <v/>
      </c>
      <c r="AU75" s="144" t="str">
        <f t="shared" si="85"/>
        <v/>
      </c>
      <c r="AV75" s="260">
        <v>1750</v>
      </c>
      <c r="AW75" s="146" t="str">
        <f t="shared" si="86"/>
        <v/>
      </c>
      <c r="AX75" s="146" t="str">
        <f t="shared" si="87"/>
        <v/>
      </c>
      <c r="AY75" s="146">
        <f t="shared" si="88"/>
        <v>9478.56</v>
      </c>
      <c r="AZ75" s="146" t="str">
        <f t="shared" si="89"/>
        <v/>
      </c>
      <c r="BA75" s="42">
        <v>74</v>
      </c>
    </row>
    <row r="76" spans="1:53" ht="18" customHeight="1" x14ac:dyDescent="0.25">
      <c r="A76" s="147" t="s">
        <v>173</v>
      </c>
      <c r="B76" s="105" t="s">
        <v>174</v>
      </c>
      <c r="C76" s="147">
        <v>1</v>
      </c>
      <c r="D76" s="106" t="s">
        <v>325</v>
      </c>
      <c r="E76" s="107">
        <v>107</v>
      </c>
      <c r="F76" s="107">
        <f t="shared" si="60"/>
        <v>22</v>
      </c>
      <c r="G76" s="108">
        <v>4206</v>
      </c>
      <c r="H76" s="108" t="s">
        <v>312</v>
      </c>
      <c r="I76" s="109">
        <f t="shared" si="61"/>
        <v>5.9757984425415469E-3</v>
      </c>
      <c r="J76" s="110">
        <f>G76*'Target revenue sheet'!$F$19</f>
        <v>1430.0400000000002</v>
      </c>
      <c r="K76" s="111">
        <v>1866</v>
      </c>
      <c r="L76" s="112">
        <f t="shared" si="62"/>
        <v>6.8946405808346725E-3</v>
      </c>
      <c r="M76" s="113">
        <f>K76*'Target revenue sheet'!$F$20</f>
        <v>1660.74</v>
      </c>
      <c r="N76" s="114">
        <v>29865</v>
      </c>
      <c r="O76" s="115">
        <f t="shared" si="63"/>
        <v>7.9735363494739704E-3</v>
      </c>
      <c r="P76" s="116">
        <f>N76*'Target revenue sheet'!$F$21</f>
        <v>2090.5500000000002</v>
      </c>
      <c r="Q76" s="117">
        <v>31914</v>
      </c>
      <c r="R76" s="118">
        <f t="shared" si="64"/>
        <v>7.75078202413103E-3</v>
      </c>
      <c r="S76" s="119">
        <f>Q76*'Target revenue sheet'!$F$22</f>
        <v>1914.84</v>
      </c>
      <c r="T76" s="120">
        <f>'Target revenue sheet'!$F$2</f>
        <v>1000</v>
      </c>
      <c r="U76" s="121">
        <f>(C76-1)*'Target revenue sheet'!$F$1</f>
        <v>0</v>
      </c>
      <c r="V76" s="122">
        <f t="shared" si="65"/>
        <v>8096.17</v>
      </c>
      <c r="W76" s="123">
        <f>IF(V76&lt;'Target revenue sheet'!$F$3,'Target revenue sheet'!$F$3,V76)</f>
        <v>8096.17</v>
      </c>
      <c r="X76" s="123"/>
      <c r="Y76" s="124">
        <v>5286</v>
      </c>
      <c r="Z76" s="125">
        <f t="shared" si="66"/>
        <v>7.2074774510672819E-3</v>
      </c>
      <c r="AA76" s="126">
        <f t="shared" si="90"/>
        <v>21</v>
      </c>
      <c r="AB76" s="127">
        <v>5445</v>
      </c>
      <c r="AC76" s="127"/>
      <c r="AD76" s="128">
        <f t="shared" si="68"/>
        <v>6107.7924999999996</v>
      </c>
      <c r="AE76" s="129">
        <f t="shared" si="69"/>
        <v>0</v>
      </c>
      <c r="AF76" s="130">
        <f t="shared" si="70"/>
        <v>6107.7924999999996</v>
      </c>
      <c r="AG76" s="131">
        <f t="shared" si="71"/>
        <v>6770.585</v>
      </c>
      <c r="AH76" s="132">
        <f t="shared" si="72"/>
        <v>0</v>
      </c>
      <c r="AI76" s="133">
        <f t="shared" si="73"/>
        <v>6770.585</v>
      </c>
      <c r="AJ76" s="134">
        <f t="shared" si="74"/>
        <v>7433.3775000000005</v>
      </c>
      <c r="AK76" s="135">
        <f t="shared" si="75"/>
        <v>0</v>
      </c>
      <c r="AL76" s="136">
        <f t="shared" si="76"/>
        <v>7433.3775000000005</v>
      </c>
      <c r="AM76" s="137">
        <f t="shared" si="77"/>
        <v>8096.17</v>
      </c>
      <c r="AN76" s="137">
        <f t="shared" si="78"/>
        <v>0</v>
      </c>
      <c r="AO76" s="138">
        <f t="shared" si="79"/>
        <v>8096.17</v>
      </c>
      <c r="AP76" s="139">
        <f t="shared" si="80"/>
        <v>2651.17</v>
      </c>
      <c r="AQ76" s="140">
        <f t="shared" si="81"/>
        <v>0.48689990817263545</v>
      </c>
      <c r="AR76" s="141">
        <f t="shared" si="82"/>
        <v>7.5866270177523234E-3</v>
      </c>
      <c r="AS76" s="142">
        <f t="shared" si="83"/>
        <v>30</v>
      </c>
      <c r="AT76" s="143" t="str">
        <f t="shared" si="84"/>
        <v/>
      </c>
      <c r="AU76" s="144" t="str">
        <f t="shared" si="85"/>
        <v/>
      </c>
      <c r="AV76" s="260">
        <v>1750</v>
      </c>
      <c r="AW76" s="146" t="str">
        <f t="shared" si="86"/>
        <v/>
      </c>
      <c r="AX76" s="146" t="str">
        <f t="shared" si="87"/>
        <v/>
      </c>
      <c r="AY76" s="146">
        <f t="shared" si="88"/>
        <v>8096.17</v>
      </c>
      <c r="AZ76" s="146" t="str">
        <f t="shared" si="89"/>
        <v/>
      </c>
      <c r="BA76" s="42">
        <v>76</v>
      </c>
    </row>
    <row r="77" spans="1:53" ht="18" customHeight="1" x14ac:dyDescent="0.25">
      <c r="A77" s="104" t="s">
        <v>167</v>
      </c>
      <c r="B77" s="105" t="s">
        <v>168</v>
      </c>
      <c r="C77" s="104">
        <v>1</v>
      </c>
      <c r="D77" s="106" t="s">
        <v>325</v>
      </c>
      <c r="E77" s="107">
        <v>19</v>
      </c>
      <c r="F77" s="107">
        <f t="shared" si="60"/>
        <v>4</v>
      </c>
      <c r="G77" s="108">
        <v>31731</v>
      </c>
      <c r="H77" s="108" t="s">
        <v>314</v>
      </c>
      <c r="I77" s="109">
        <f t="shared" si="61"/>
        <v>4.5082753300115512E-2</v>
      </c>
      <c r="J77" s="110">
        <f>G77*'Target revenue sheet'!$F$19</f>
        <v>10788.54</v>
      </c>
      <c r="K77" s="111">
        <v>12360</v>
      </c>
      <c r="L77" s="112">
        <f t="shared" si="62"/>
        <v>4.5668680374660535E-2</v>
      </c>
      <c r="M77" s="113">
        <f>K77*'Target revenue sheet'!$F$20</f>
        <v>11000.4</v>
      </c>
      <c r="N77" s="114">
        <v>121791</v>
      </c>
      <c r="O77" s="115">
        <f t="shared" si="63"/>
        <v>3.2516489721707162E-2</v>
      </c>
      <c r="P77" s="116">
        <f>N77*'Target revenue sheet'!$F$21</f>
        <v>8525.3700000000008</v>
      </c>
      <c r="Q77" s="117">
        <v>175560</v>
      </c>
      <c r="R77" s="118">
        <f t="shared" si="64"/>
        <v>4.2637315665740541E-2</v>
      </c>
      <c r="S77" s="119">
        <f>Q77*'Target revenue sheet'!$F$22</f>
        <v>10533.6</v>
      </c>
      <c r="T77" s="120">
        <f>'Target revenue sheet'!$F$2</f>
        <v>1000</v>
      </c>
      <c r="U77" s="121">
        <f>(C77-1)*'Target revenue sheet'!$F$1</f>
        <v>0</v>
      </c>
      <c r="V77" s="122">
        <f t="shared" si="65"/>
        <v>41847.910000000003</v>
      </c>
      <c r="W77" s="123">
        <f>IF(V77&lt;'Target revenue sheet'!$F$3,'Target revenue sheet'!$F$3,V77)</f>
        <v>41847.910000000003</v>
      </c>
      <c r="X77" s="123">
        <v>1.8</v>
      </c>
      <c r="Y77" s="124">
        <v>28839</v>
      </c>
      <c r="Z77" s="125">
        <f t="shared" si="66"/>
        <v>3.9322066252616222E-2</v>
      </c>
      <c r="AA77" s="126">
        <f t="shared" si="90"/>
        <v>5</v>
      </c>
      <c r="AB77" s="127">
        <v>29241</v>
      </c>
      <c r="AC77" s="127"/>
      <c r="AD77" s="128">
        <f t="shared" si="68"/>
        <v>35089.199999999997</v>
      </c>
      <c r="AE77" s="129">
        <f t="shared" si="69"/>
        <v>0</v>
      </c>
      <c r="AF77" s="130">
        <f t="shared" si="70"/>
        <v>35089.199999999997</v>
      </c>
      <c r="AG77" s="131">
        <f t="shared" si="71"/>
        <v>40937.4</v>
      </c>
      <c r="AH77" s="132">
        <f t="shared" si="72"/>
        <v>0</v>
      </c>
      <c r="AI77" s="133">
        <f t="shared" si="73"/>
        <v>40937.4</v>
      </c>
      <c r="AJ77" s="134">
        <f t="shared" si="74"/>
        <v>46785.600000000006</v>
      </c>
      <c r="AK77" s="135">
        <f t="shared" si="75"/>
        <v>0</v>
      </c>
      <c r="AL77" s="136">
        <f t="shared" si="76"/>
        <v>46785.600000000006</v>
      </c>
      <c r="AM77" s="137">
        <f t="shared" si="77"/>
        <v>52633.8</v>
      </c>
      <c r="AN77" s="137">
        <f t="shared" si="78"/>
        <v>0</v>
      </c>
      <c r="AO77" s="138">
        <f t="shared" si="79"/>
        <v>52633.8</v>
      </c>
      <c r="AP77" s="139">
        <f t="shared" si="80"/>
        <v>23392.800000000003</v>
      </c>
      <c r="AQ77" s="140">
        <f t="shared" si="81"/>
        <v>0.8</v>
      </c>
      <c r="AR77" s="141">
        <f t="shared" si="82"/>
        <v>4.9321223384263452E-2</v>
      </c>
      <c r="AS77" s="142">
        <f t="shared" si="83"/>
        <v>5</v>
      </c>
      <c r="AT77" s="143" t="str">
        <f t="shared" si="84"/>
        <v/>
      </c>
      <c r="AU77" s="144" t="str">
        <f t="shared" si="85"/>
        <v/>
      </c>
      <c r="AV77" s="260">
        <v>2625</v>
      </c>
      <c r="AW77" s="146" t="str">
        <f t="shared" si="86"/>
        <v/>
      </c>
      <c r="AX77" s="146" t="str">
        <f t="shared" si="87"/>
        <v/>
      </c>
      <c r="AY77" s="146" t="str">
        <f t="shared" si="88"/>
        <v/>
      </c>
      <c r="AZ77" s="146">
        <f t="shared" si="89"/>
        <v>52633.8</v>
      </c>
      <c r="BA77" s="42">
        <v>73</v>
      </c>
    </row>
    <row r="78" spans="1:53" ht="18" customHeight="1" x14ac:dyDescent="0.25">
      <c r="A78" s="147" t="s">
        <v>176</v>
      </c>
      <c r="B78" s="105" t="s">
        <v>177</v>
      </c>
      <c r="C78" s="147">
        <v>1</v>
      </c>
      <c r="D78" s="106" t="s">
        <v>325</v>
      </c>
      <c r="E78" s="107">
        <v>73</v>
      </c>
      <c r="F78" s="107">
        <f t="shared" si="60"/>
        <v>17</v>
      </c>
      <c r="G78" s="108">
        <v>11150</v>
      </c>
      <c r="H78" s="108" t="s">
        <v>314</v>
      </c>
      <c r="I78" s="109">
        <f t="shared" si="61"/>
        <v>1.5841691068554029E-2</v>
      </c>
      <c r="J78" s="110">
        <f>G78*'Target revenue sheet'!$F$19</f>
        <v>3791.0000000000005</v>
      </c>
      <c r="K78" s="111">
        <v>3587</v>
      </c>
      <c r="L78" s="112">
        <f t="shared" si="62"/>
        <v>1.3253523988989267E-2</v>
      </c>
      <c r="M78" s="113">
        <f>K78*'Target revenue sheet'!$F$20</f>
        <v>3192.43</v>
      </c>
      <c r="N78" s="114">
        <v>57495</v>
      </c>
      <c r="O78" s="115">
        <f t="shared" si="63"/>
        <v>1.5350359029399161E-2</v>
      </c>
      <c r="P78" s="116">
        <f>N78*'Target revenue sheet'!$F$21</f>
        <v>4024.6500000000005</v>
      </c>
      <c r="Q78" s="117">
        <v>31312</v>
      </c>
      <c r="R78" s="118">
        <f t="shared" si="64"/>
        <v>7.6045775126775336E-3</v>
      </c>
      <c r="S78" s="119">
        <f>Q78*'Target revenue sheet'!$F$22</f>
        <v>1878.72</v>
      </c>
      <c r="T78" s="120">
        <f>'Target revenue sheet'!$F$2</f>
        <v>1000</v>
      </c>
      <c r="U78" s="121">
        <f>(C78-1)*'Target revenue sheet'!$F$1</f>
        <v>0</v>
      </c>
      <c r="V78" s="122">
        <f t="shared" si="65"/>
        <v>13886.800000000001</v>
      </c>
      <c r="W78" s="123">
        <f>IF(V78&lt;'Target revenue sheet'!$F$3,'Target revenue sheet'!$F$3,V78)</f>
        <v>13886.800000000001</v>
      </c>
      <c r="X78" s="123"/>
      <c r="Y78" s="124">
        <v>2930</v>
      </c>
      <c r="Z78" s="125">
        <f t="shared" si="66"/>
        <v>3.9950641187338513E-3</v>
      </c>
      <c r="AA78" s="126">
        <f t="shared" si="90"/>
        <v>29</v>
      </c>
      <c r="AB78" s="127">
        <v>3080</v>
      </c>
      <c r="AC78" s="127"/>
      <c r="AD78" s="128">
        <f t="shared" si="68"/>
        <v>5781.7000000000007</v>
      </c>
      <c r="AE78" s="129">
        <f t="shared" si="69"/>
        <v>0</v>
      </c>
      <c r="AF78" s="130">
        <f t="shared" si="70"/>
        <v>5781.7000000000007</v>
      </c>
      <c r="AG78" s="131">
        <f t="shared" si="71"/>
        <v>8483.4000000000015</v>
      </c>
      <c r="AH78" s="132">
        <f t="shared" si="72"/>
        <v>0</v>
      </c>
      <c r="AI78" s="133">
        <f t="shared" si="73"/>
        <v>8483.4000000000015</v>
      </c>
      <c r="AJ78" s="134">
        <f t="shared" si="74"/>
        <v>11185.1</v>
      </c>
      <c r="AK78" s="135">
        <f t="shared" si="75"/>
        <v>0</v>
      </c>
      <c r="AL78" s="136">
        <f t="shared" si="76"/>
        <v>11185.1</v>
      </c>
      <c r="AM78" s="137">
        <f t="shared" si="77"/>
        <v>13886.800000000001</v>
      </c>
      <c r="AN78" s="137">
        <f t="shared" si="78"/>
        <v>0</v>
      </c>
      <c r="AO78" s="138">
        <f t="shared" si="79"/>
        <v>13886.800000000001</v>
      </c>
      <c r="AP78" s="139">
        <f t="shared" si="80"/>
        <v>10806.800000000001</v>
      </c>
      <c r="AQ78" s="140">
        <f t="shared" si="81"/>
        <v>3.5087012987012991</v>
      </c>
      <c r="AR78" s="141">
        <f t="shared" si="82"/>
        <v>1.3012816192115898E-2</v>
      </c>
      <c r="AS78" s="142">
        <f t="shared" si="83"/>
        <v>17</v>
      </c>
      <c r="AT78" s="143">
        <f t="shared" si="84"/>
        <v>10806.800000000001</v>
      </c>
      <c r="AU78" s="144">
        <f t="shared" si="85"/>
        <v>10806.800000000001</v>
      </c>
      <c r="AV78" s="260">
        <v>875</v>
      </c>
      <c r="AW78" s="146" t="str">
        <f t="shared" si="86"/>
        <v/>
      </c>
      <c r="AX78" s="146" t="str">
        <f t="shared" si="87"/>
        <v/>
      </c>
      <c r="AY78" s="146" t="str">
        <f t="shared" si="88"/>
        <v/>
      </c>
      <c r="AZ78" s="146">
        <f t="shared" si="89"/>
        <v>13886.800000000001</v>
      </c>
      <c r="BA78" s="42">
        <v>77</v>
      </c>
    </row>
    <row r="79" spans="1:53" ht="18" customHeight="1" x14ac:dyDescent="0.25">
      <c r="A79" s="147" t="s">
        <v>178</v>
      </c>
      <c r="B79" s="152" t="s">
        <v>179</v>
      </c>
      <c r="C79" s="147">
        <v>1</v>
      </c>
      <c r="D79" s="106" t="s">
        <v>325</v>
      </c>
      <c r="E79" s="107">
        <v>126</v>
      </c>
      <c r="F79" s="107">
        <f t="shared" si="60"/>
        <v>29</v>
      </c>
      <c r="G79" s="108">
        <v>5149</v>
      </c>
      <c r="H79" s="108" t="s">
        <v>312</v>
      </c>
      <c r="I79" s="109">
        <f t="shared" si="61"/>
        <v>7.3155934808954888E-3</v>
      </c>
      <c r="J79" s="110">
        <f>G79*'Target revenue sheet'!$F$19</f>
        <v>1750.66</v>
      </c>
      <c r="K79" s="111">
        <v>1789</v>
      </c>
      <c r="L79" s="112">
        <f t="shared" si="62"/>
        <v>6.6101350477562855E-3</v>
      </c>
      <c r="M79" s="113">
        <f>K79*'Target revenue sheet'!$F$20</f>
        <v>1592.21</v>
      </c>
      <c r="N79" s="114">
        <v>40416</v>
      </c>
      <c r="O79" s="115">
        <f t="shared" si="63"/>
        <v>1.0790505444511636E-2</v>
      </c>
      <c r="P79" s="116">
        <f>N79*'Target revenue sheet'!$F$21</f>
        <v>2829.1200000000003</v>
      </c>
      <c r="Q79" s="117">
        <v>14104</v>
      </c>
      <c r="R79" s="118">
        <f t="shared" si="64"/>
        <v>3.4253628397676269E-3</v>
      </c>
      <c r="S79" s="119">
        <f>Q79*'Target revenue sheet'!$F$22</f>
        <v>846.24</v>
      </c>
      <c r="T79" s="120">
        <f>'Target revenue sheet'!$F$2</f>
        <v>1000</v>
      </c>
      <c r="U79" s="121">
        <f>(C79-1)*'Target revenue sheet'!$F$1</f>
        <v>0</v>
      </c>
      <c r="V79" s="122">
        <f t="shared" si="65"/>
        <v>8018.23</v>
      </c>
      <c r="W79" s="123">
        <f>IF(V79&lt;'Target revenue sheet'!$F$3,'Target revenue sheet'!$F$3,V79)</f>
        <v>8018.23</v>
      </c>
      <c r="X79" s="123"/>
      <c r="Y79" s="124">
        <v>1750</v>
      </c>
      <c r="Z79" s="125">
        <f t="shared" si="66"/>
        <v>2.3861304463427438E-3</v>
      </c>
      <c r="AA79" s="126">
        <f t="shared" si="90"/>
        <v>58</v>
      </c>
      <c r="AB79" s="127">
        <v>1900</v>
      </c>
      <c r="AC79" s="127"/>
      <c r="AD79" s="128">
        <f t="shared" si="68"/>
        <v>3429.5574999999999</v>
      </c>
      <c r="AE79" s="129">
        <f t="shared" si="69"/>
        <v>0</v>
      </c>
      <c r="AF79" s="130">
        <f t="shared" si="70"/>
        <v>3429.5574999999999</v>
      </c>
      <c r="AG79" s="131">
        <f t="shared" si="71"/>
        <v>4959.1149999999998</v>
      </c>
      <c r="AH79" s="132">
        <f t="shared" si="72"/>
        <v>0</v>
      </c>
      <c r="AI79" s="133">
        <f t="shared" si="73"/>
        <v>4959.1149999999998</v>
      </c>
      <c r="AJ79" s="134">
        <f t="shared" si="74"/>
        <v>6488.6724999999997</v>
      </c>
      <c r="AK79" s="135">
        <f t="shared" si="75"/>
        <v>0</v>
      </c>
      <c r="AL79" s="136">
        <f t="shared" si="76"/>
        <v>6488.6724999999997</v>
      </c>
      <c r="AM79" s="137">
        <f t="shared" si="77"/>
        <v>8018.23</v>
      </c>
      <c r="AN79" s="137">
        <f t="shared" si="78"/>
        <v>0</v>
      </c>
      <c r="AO79" s="138">
        <f t="shared" si="79"/>
        <v>8018.23</v>
      </c>
      <c r="AP79" s="139">
        <f t="shared" si="80"/>
        <v>6118.23</v>
      </c>
      <c r="AQ79" s="140">
        <f t="shared" si="81"/>
        <v>3.2201210526315789</v>
      </c>
      <c r="AR79" s="141">
        <f t="shared" si="82"/>
        <v>7.5135922729577323E-3</v>
      </c>
      <c r="AS79" s="142">
        <f t="shared" si="83"/>
        <v>31</v>
      </c>
      <c r="AT79" s="143">
        <f t="shared" si="84"/>
        <v>6118.23</v>
      </c>
      <c r="AU79" s="144">
        <f t="shared" si="85"/>
        <v>6118.23</v>
      </c>
      <c r="AV79" s="260">
        <v>2625</v>
      </c>
      <c r="AW79" s="146" t="str">
        <f t="shared" si="86"/>
        <v/>
      </c>
      <c r="AX79" s="146" t="str">
        <f t="shared" si="87"/>
        <v/>
      </c>
      <c r="AY79" s="146">
        <f t="shared" si="88"/>
        <v>8018.23</v>
      </c>
      <c r="AZ79" s="146" t="str">
        <f t="shared" si="89"/>
        <v/>
      </c>
      <c r="BA79" s="42">
        <v>78</v>
      </c>
    </row>
    <row r="80" spans="1:53" ht="18" customHeight="1" x14ac:dyDescent="0.25">
      <c r="A80" s="104" t="s">
        <v>182</v>
      </c>
      <c r="B80" s="105" t="s">
        <v>183</v>
      </c>
      <c r="C80" s="104">
        <v>2</v>
      </c>
      <c r="D80" s="106" t="s">
        <v>325</v>
      </c>
      <c r="E80" s="107">
        <v>12</v>
      </c>
      <c r="F80" s="107">
        <f t="shared" si="60"/>
        <v>3</v>
      </c>
      <c r="G80" s="108">
        <v>49721</v>
      </c>
      <c r="H80" s="108" t="s">
        <v>314</v>
      </c>
      <c r="I80" s="109">
        <f t="shared" si="61"/>
        <v>7.0642575930006724E-2</v>
      </c>
      <c r="J80" s="110">
        <f>G80*'Target revenue sheet'!$F$19</f>
        <v>16905.14</v>
      </c>
      <c r="K80" s="111">
        <v>18787</v>
      </c>
      <c r="L80" s="112">
        <f t="shared" si="62"/>
        <v>6.9415655194073417E-2</v>
      </c>
      <c r="M80" s="113">
        <f>K80*'Target revenue sheet'!$F$20</f>
        <v>16720.43</v>
      </c>
      <c r="N80" s="114">
        <v>164431</v>
      </c>
      <c r="O80" s="115">
        <f t="shared" si="63"/>
        <v>4.3900771989966669E-2</v>
      </c>
      <c r="P80" s="116">
        <f>N80*'Target revenue sheet'!$F$21</f>
        <v>11510.170000000002</v>
      </c>
      <c r="Q80" s="117">
        <v>290239</v>
      </c>
      <c r="R80" s="118">
        <f t="shared" si="64"/>
        <v>7.0488789368357646E-2</v>
      </c>
      <c r="S80" s="119">
        <f>Q80*'Target revenue sheet'!$F$22</f>
        <v>17414.34</v>
      </c>
      <c r="T80" s="120">
        <f>'Target revenue sheet'!$F$2</f>
        <v>1000</v>
      </c>
      <c r="U80" s="121">
        <f>(C80-1)*'Target revenue sheet'!$F$1</f>
        <v>2000</v>
      </c>
      <c r="V80" s="122">
        <f t="shared" si="65"/>
        <v>65550.080000000002</v>
      </c>
      <c r="W80" s="123">
        <f>IF(V80&lt;'Target revenue sheet'!$F$3,'Target revenue sheet'!$F$3,V80)</f>
        <v>65550.080000000002</v>
      </c>
      <c r="X80" s="123">
        <v>1.04</v>
      </c>
      <c r="Y80" s="124">
        <v>49158</v>
      </c>
      <c r="Z80" s="125">
        <f t="shared" si="66"/>
        <v>6.7027085989323776E-2</v>
      </c>
      <c r="AA80" s="126">
        <f t="shared" si="90"/>
        <v>3</v>
      </c>
      <c r="AB80" s="127">
        <v>50633</v>
      </c>
      <c r="AC80" s="127"/>
      <c r="AD80" s="128">
        <f t="shared" si="68"/>
        <v>51139.33</v>
      </c>
      <c r="AE80" s="129">
        <f t="shared" si="69"/>
        <v>0</v>
      </c>
      <c r="AF80" s="130">
        <f t="shared" si="70"/>
        <v>51139.33</v>
      </c>
      <c r="AG80" s="131">
        <f t="shared" si="71"/>
        <v>51645.66</v>
      </c>
      <c r="AH80" s="132">
        <f t="shared" si="72"/>
        <v>0</v>
      </c>
      <c r="AI80" s="133">
        <f t="shared" si="73"/>
        <v>51645.66</v>
      </c>
      <c r="AJ80" s="134">
        <f t="shared" si="74"/>
        <v>52151.99</v>
      </c>
      <c r="AK80" s="135">
        <f t="shared" si="75"/>
        <v>0</v>
      </c>
      <c r="AL80" s="136">
        <f t="shared" si="76"/>
        <v>52151.99</v>
      </c>
      <c r="AM80" s="137">
        <f t="shared" si="77"/>
        <v>52658.32</v>
      </c>
      <c r="AN80" s="137">
        <f t="shared" si="78"/>
        <v>0</v>
      </c>
      <c r="AO80" s="138">
        <f t="shared" si="79"/>
        <v>52658.32</v>
      </c>
      <c r="AP80" s="139">
        <f t="shared" si="80"/>
        <v>2025.3199999999997</v>
      </c>
      <c r="AQ80" s="140">
        <f t="shared" si="81"/>
        <v>3.9999999999999994E-2</v>
      </c>
      <c r="AR80" s="141">
        <f t="shared" si="82"/>
        <v>4.934420018619267E-2</v>
      </c>
      <c r="AS80" s="142">
        <f t="shared" si="83"/>
        <v>3</v>
      </c>
      <c r="AT80" s="143" t="str">
        <f t="shared" si="84"/>
        <v/>
      </c>
      <c r="AU80" s="144" t="str">
        <f t="shared" si="85"/>
        <v/>
      </c>
      <c r="AV80" s="260">
        <v>2625</v>
      </c>
      <c r="AW80" s="146" t="str">
        <f t="shared" si="86"/>
        <v/>
      </c>
      <c r="AX80" s="146" t="str">
        <f t="shared" si="87"/>
        <v/>
      </c>
      <c r="AY80" s="146" t="str">
        <f t="shared" si="88"/>
        <v/>
      </c>
      <c r="AZ80" s="146">
        <f t="shared" si="89"/>
        <v>52658.32</v>
      </c>
      <c r="BA80" s="42">
        <v>80</v>
      </c>
    </row>
    <row r="81" spans="1:53" ht="18" customHeight="1" x14ac:dyDescent="0.25">
      <c r="A81" s="148" t="s">
        <v>184</v>
      </c>
      <c r="B81" s="149" t="s">
        <v>185</v>
      </c>
      <c r="C81" s="148">
        <v>1</v>
      </c>
      <c r="D81" s="150" t="s">
        <v>323</v>
      </c>
      <c r="E81" s="107">
        <v>361</v>
      </c>
      <c r="F81" s="107">
        <f t="shared" si="60"/>
        <v>92</v>
      </c>
      <c r="G81" s="108">
        <v>685</v>
      </c>
      <c r="H81" s="108" t="s">
        <v>311</v>
      </c>
      <c r="I81" s="109">
        <f t="shared" si="61"/>
        <v>9.7323393560174983E-4</v>
      </c>
      <c r="J81" s="110">
        <f>G81*'Target revenue sheet'!$F$19</f>
        <v>232.9</v>
      </c>
      <c r="K81" s="111">
        <v>101</v>
      </c>
      <c r="L81" s="112">
        <f t="shared" si="62"/>
        <v>3.7318258234957232E-4</v>
      </c>
      <c r="M81" s="113">
        <f>K81*'Target revenue sheet'!$F$20</f>
        <v>89.89</v>
      </c>
      <c r="N81" s="114">
        <v>7252</v>
      </c>
      <c r="O81" s="115">
        <f t="shared" si="63"/>
        <v>1.9361823407461991E-3</v>
      </c>
      <c r="P81" s="116">
        <f>N81*'Target revenue sheet'!$F$21</f>
        <v>507.64000000000004</v>
      </c>
      <c r="Q81" s="117">
        <v>2681</v>
      </c>
      <c r="R81" s="118">
        <f t="shared" si="64"/>
        <v>6.5112009170568692E-4</v>
      </c>
      <c r="S81" s="119">
        <f>Q81*'Target revenue sheet'!$F$22</f>
        <v>160.85999999999999</v>
      </c>
      <c r="T81" s="120">
        <f>'Target revenue sheet'!$F$2</f>
        <v>1000</v>
      </c>
      <c r="U81" s="121">
        <f>(C81-1)*'Target revenue sheet'!$F$1</f>
        <v>0</v>
      </c>
      <c r="V81" s="122">
        <f t="shared" si="65"/>
        <v>1991.29</v>
      </c>
      <c r="W81" s="123">
        <f>IF(V81&lt;'Target revenue sheet'!$F$3,'Target revenue sheet'!$F$3,V81)</f>
        <v>3200</v>
      </c>
      <c r="X81" s="123"/>
      <c r="Y81" s="124">
        <v>1925</v>
      </c>
      <c r="Z81" s="125">
        <f t="shared" si="66"/>
        <v>2.6247434909770183E-3</v>
      </c>
      <c r="AA81" s="126">
        <f t="shared" si="90"/>
        <v>48</v>
      </c>
      <c r="AB81" s="151">
        <v>1900</v>
      </c>
      <c r="AC81" s="127">
        <v>2090</v>
      </c>
      <c r="AD81" s="128">
        <f t="shared" si="68"/>
        <v>2225</v>
      </c>
      <c r="AE81" s="129">
        <f t="shared" si="69"/>
        <v>222.5</v>
      </c>
      <c r="AF81" s="130">
        <f t="shared" si="70"/>
        <v>2447.5</v>
      </c>
      <c r="AG81" s="131">
        <f t="shared" si="71"/>
        <v>2550</v>
      </c>
      <c r="AH81" s="132">
        <f t="shared" si="72"/>
        <v>255</v>
      </c>
      <c r="AI81" s="133">
        <f t="shared" si="73"/>
        <v>2805</v>
      </c>
      <c r="AJ81" s="134">
        <f t="shared" si="74"/>
        <v>2875</v>
      </c>
      <c r="AK81" s="135">
        <f t="shared" si="75"/>
        <v>287.5</v>
      </c>
      <c r="AL81" s="136">
        <f t="shared" si="76"/>
        <v>3162.5</v>
      </c>
      <c r="AM81" s="137">
        <f t="shared" si="77"/>
        <v>3200</v>
      </c>
      <c r="AN81" s="137">
        <f t="shared" si="78"/>
        <v>320</v>
      </c>
      <c r="AO81" s="138">
        <f t="shared" si="79"/>
        <v>3520</v>
      </c>
      <c r="AP81" s="139">
        <f t="shared" si="80"/>
        <v>1300</v>
      </c>
      <c r="AQ81" s="140">
        <f t="shared" si="81"/>
        <v>0.68421052631578949</v>
      </c>
      <c r="AR81" s="141">
        <f t="shared" si="82"/>
        <v>3.2984642247492553E-3</v>
      </c>
      <c r="AS81" s="142">
        <f t="shared" si="83"/>
        <v>81</v>
      </c>
      <c r="AT81" s="143" t="str">
        <f t="shared" si="84"/>
        <v/>
      </c>
      <c r="AU81" s="144" t="str">
        <f t="shared" si="85"/>
        <v/>
      </c>
      <c r="AV81" s="261">
        <v>3500</v>
      </c>
      <c r="AW81" s="146">
        <f t="shared" si="86"/>
        <v>3200</v>
      </c>
      <c r="AX81" s="146" t="str">
        <f t="shared" si="87"/>
        <v/>
      </c>
      <c r="AY81" s="146" t="str">
        <f t="shared" si="88"/>
        <v/>
      </c>
      <c r="AZ81" s="146" t="str">
        <f t="shared" si="89"/>
        <v/>
      </c>
      <c r="BA81" s="42">
        <v>81</v>
      </c>
    </row>
    <row r="82" spans="1:53" ht="18" customHeight="1" x14ac:dyDescent="0.25">
      <c r="A82" s="148" t="s">
        <v>187</v>
      </c>
      <c r="B82" s="149" t="s">
        <v>188</v>
      </c>
      <c r="C82" s="148">
        <v>1</v>
      </c>
      <c r="D82" s="150" t="s">
        <v>323</v>
      </c>
      <c r="E82" s="107">
        <v>186</v>
      </c>
      <c r="F82" s="107">
        <f t="shared" si="60"/>
        <v>44</v>
      </c>
      <c r="G82" s="108">
        <v>3005</v>
      </c>
      <c r="H82" s="108" t="s">
        <v>313</v>
      </c>
      <c r="I82" s="109">
        <f t="shared" si="61"/>
        <v>4.2694423014354131E-3</v>
      </c>
      <c r="J82" s="110">
        <f>G82*'Target revenue sheet'!$F$19</f>
        <v>1021.7</v>
      </c>
      <c r="K82" s="111">
        <v>873</v>
      </c>
      <c r="L82" s="112">
        <f t="shared" si="62"/>
        <v>3.2256276672393727E-3</v>
      </c>
      <c r="M82" s="113">
        <f>K82*'Target revenue sheet'!$F$20</f>
        <v>776.97</v>
      </c>
      <c r="N82" s="114">
        <v>27250</v>
      </c>
      <c r="O82" s="115">
        <f t="shared" si="63"/>
        <v>7.2753680068028031E-3</v>
      </c>
      <c r="P82" s="116">
        <f>N82*'Target revenue sheet'!$F$21</f>
        <v>1907.5000000000002</v>
      </c>
      <c r="Q82" s="117">
        <v>13120</v>
      </c>
      <c r="R82" s="118">
        <f t="shared" si="64"/>
        <v>3.1863840369931416E-3</v>
      </c>
      <c r="S82" s="119">
        <f>Q82*'Target revenue sheet'!$F$22</f>
        <v>787.19999999999993</v>
      </c>
      <c r="T82" s="120">
        <f>'Target revenue sheet'!$F$2</f>
        <v>1000</v>
      </c>
      <c r="U82" s="121">
        <f>(C82-1)*'Target revenue sheet'!$F$1</f>
        <v>0</v>
      </c>
      <c r="V82" s="122">
        <f t="shared" si="65"/>
        <v>5493.37</v>
      </c>
      <c r="W82" s="123">
        <f>IF(V82&lt;'Target revenue sheet'!$F$3,'Target revenue sheet'!$F$3,V82)</f>
        <v>5493.37</v>
      </c>
      <c r="X82" s="123"/>
      <c r="Y82" s="124">
        <v>1925</v>
      </c>
      <c r="Z82" s="125">
        <f t="shared" si="66"/>
        <v>2.6247434909770183E-3</v>
      </c>
      <c r="AA82" s="126">
        <f t="shared" si="90"/>
        <v>48</v>
      </c>
      <c r="AB82" s="151">
        <v>1900</v>
      </c>
      <c r="AC82" s="127">
        <v>2090</v>
      </c>
      <c r="AD82" s="128">
        <f t="shared" si="68"/>
        <v>2798.3424999999997</v>
      </c>
      <c r="AE82" s="129">
        <f t="shared" si="69"/>
        <v>279.83425</v>
      </c>
      <c r="AF82" s="130">
        <f t="shared" si="70"/>
        <v>3078.1767499999996</v>
      </c>
      <c r="AG82" s="131">
        <f t="shared" si="71"/>
        <v>3696.6849999999999</v>
      </c>
      <c r="AH82" s="132">
        <f t="shared" si="72"/>
        <v>369.66849999999999</v>
      </c>
      <c r="AI82" s="133">
        <f t="shared" si="73"/>
        <v>4066.3535000000002</v>
      </c>
      <c r="AJ82" s="134">
        <f t="shared" si="74"/>
        <v>4595.0275000000001</v>
      </c>
      <c r="AK82" s="135">
        <f t="shared" si="75"/>
        <v>459.50275000000005</v>
      </c>
      <c r="AL82" s="136">
        <f t="shared" si="76"/>
        <v>5054.5302499999998</v>
      </c>
      <c r="AM82" s="137">
        <f t="shared" si="77"/>
        <v>5493.37</v>
      </c>
      <c r="AN82" s="137">
        <f t="shared" si="78"/>
        <v>549.33699999999999</v>
      </c>
      <c r="AO82" s="138">
        <f t="shared" si="79"/>
        <v>6042.7070000000003</v>
      </c>
      <c r="AP82" s="139">
        <f t="shared" si="80"/>
        <v>3593.37</v>
      </c>
      <c r="AQ82" s="140">
        <f t="shared" si="81"/>
        <v>1.8912473684210527</v>
      </c>
      <c r="AR82" s="141">
        <f t="shared" si="82"/>
        <v>5.6624013807221301E-3</v>
      </c>
      <c r="AS82" s="142">
        <f t="shared" si="83"/>
        <v>48</v>
      </c>
      <c r="AT82" s="143">
        <f t="shared" si="84"/>
        <v>3593.37</v>
      </c>
      <c r="AU82" s="144" t="str">
        <f t="shared" si="85"/>
        <v/>
      </c>
      <c r="AV82" s="260">
        <v>1750</v>
      </c>
      <c r="AW82" s="146" t="str">
        <f t="shared" si="86"/>
        <v/>
      </c>
      <c r="AX82" s="146">
        <f t="shared" si="87"/>
        <v>5493.37</v>
      </c>
      <c r="AY82" s="146" t="str">
        <f t="shared" si="88"/>
        <v/>
      </c>
      <c r="AZ82" s="146" t="str">
        <f t="shared" si="89"/>
        <v/>
      </c>
      <c r="BA82" s="42">
        <v>82</v>
      </c>
    </row>
    <row r="83" spans="1:53" ht="18" customHeight="1" x14ac:dyDescent="0.25">
      <c r="A83" s="104" t="s">
        <v>189</v>
      </c>
      <c r="B83" s="152" t="s">
        <v>190</v>
      </c>
      <c r="C83" s="104">
        <v>1</v>
      </c>
      <c r="D83" s="106" t="s">
        <v>325</v>
      </c>
      <c r="E83" s="107">
        <v>319</v>
      </c>
      <c r="F83" s="107">
        <f t="shared" si="60"/>
        <v>82</v>
      </c>
      <c r="G83" s="108">
        <v>1117</v>
      </c>
      <c r="H83" s="108" t="s">
        <v>311</v>
      </c>
      <c r="I83" s="109">
        <f t="shared" si="61"/>
        <v>1.5870106657914665E-3</v>
      </c>
      <c r="J83" s="110">
        <f>G83*'Target revenue sheet'!$F$19</f>
        <v>379.78000000000003</v>
      </c>
      <c r="K83" s="111">
        <v>381</v>
      </c>
      <c r="L83" s="112">
        <f t="shared" si="62"/>
        <v>1.4077481571800699E-3</v>
      </c>
      <c r="M83" s="113">
        <f>K83*'Target revenue sheet'!$F$20</f>
        <v>339.09000000000003</v>
      </c>
      <c r="N83" s="114">
        <v>14951</v>
      </c>
      <c r="O83" s="115">
        <f t="shared" si="63"/>
        <v>3.9917074154021542E-3</v>
      </c>
      <c r="P83" s="116">
        <f>N83*'Target revenue sheet'!$F$21</f>
        <v>1046.5700000000002</v>
      </c>
      <c r="Q83" s="117">
        <v>5682</v>
      </c>
      <c r="R83" s="118">
        <f t="shared" si="64"/>
        <v>1.3799568672404749E-3</v>
      </c>
      <c r="S83" s="119">
        <f>Q83*'Target revenue sheet'!$F$22</f>
        <v>340.91999999999996</v>
      </c>
      <c r="T83" s="120">
        <f>'Target revenue sheet'!$F$2</f>
        <v>1000</v>
      </c>
      <c r="U83" s="121">
        <f>(C83-1)*'Target revenue sheet'!$F$1</f>
        <v>0</v>
      </c>
      <c r="V83" s="122">
        <f t="shared" si="65"/>
        <v>3106.36</v>
      </c>
      <c r="W83" s="123">
        <f>IF(V83&lt;'Target revenue sheet'!$F$3,'Target revenue sheet'!$F$3,V83)</f>
        <v>3200</v>
      </c>
      <c r="X83" s="123"/>
      <c r="Y83" s="124">
        <v>1750</v>
      </c>
      <c r="Z83" s="125">
        <f t="shared" si="66"/>
        <v>2.3861304463427438E-3</v>
      </c>
      <c r="AA83" s="126">
        <f t="shared" si="90"/>
        <v>58</v>
      </c>
      <c r="AB83" s="127">
        <v>1900</v>
      </c>
      <c r="AC83" s="127"/>
      <c r="AD83" s="128">
        <f t="shared" si="68"/>
        <v>2225</v>
      </c>
      <c r="AE83" s="129">
        <f t="shared" si="69"/>
        <v>0</v>
      </c>
      <c r="AF83" s="130">
        <f t="shared" si="70"/>
        <v>2225</v>
      </c>
      <c r="AG83" s="131">
        <f t="shared" si="71"/>
        <v>2550</v>
      </c>
      <c r="AH83" s="132">
        <f t="shared" si="72"/>
        <v>0</v>
      </c>
      <c r="AI83" s="133">
        <f t="shared" si="73"/>
        <v>2550</v>
      </c>
      <c r="AJ83" s="134">
        <f t="shared" si="74"/>
        <v>2875</v>
      </c>
      <c r="AK83" s="135">
        <f t="shared" si="75"/>
        <v>0</v>
      </c>
      <c r="AL83" s="136">
        <f t="shared" si="76"/>
        <v>2875</v>
      </c>
      <c r="AM83" s="137">
        <f t="shared" si="77"/>
        <v>3200</v>
      </c>
      <c r="AN83" s="137">
        <f t="shared" si="78"/>
        <v>0</v>
      </c>
      <c r="AO83" s="138">
        <f t="shared" si="79"/>
        <v>3200</v>
      </c>
      <c r="AP83" s="139">
        <f t="shared" si="80"/>
        <v>1300</v>
      </c>
      <c r="AQ83" s="140">
        <f t="shared" si="81"/>
        <v>0.68421052631578949</v>
      </c>
      <c r="AR83" s="141">
        <f t="shared" si="82"/>
        <v>2.9986038406811409E-3</v>
      </c>
      <c r="AS83" s="142">
        <f t="shared" si="83"/>
        <v>81</v>
      </c>
      <c r="AT83" s="143" t="str">
        <f t="shared" si="84"/>
        <v/>
      </c>
      <c r="AU83" s="144" t="str">
        <f t="shared" si="85"/>
        <v/>
      </c>
      <c r="AV83" s="260">
        <v>2625</v>
      </c>
      <c r="AW83" s="146">
        <f t="shared" si="86"/>
        <v>3200</v>
      </c>
      <c r="AX83" s="146" t="str">
        <f t="shared" si="87"/>
        <v/>
      </c>
      <c r="AY83" s="146" t="str">
        <f t="shared" si="88"/>
        <v/>
      </c>
      <c r="AZ83" s="146" t="str">
        <f t="shared" si="89"/>
        <v/>
      </c>
      <c r="BA83" s="42">
        <v>83</v>
      </c>
    </row>
    <row r="84" spans="1:53" ht="18" customHeight="1" x14ac:dyDescent="0.25">
      <c r="A84" s="148" t="s">
        <v>191</v>
      </c>
      <c r="B84" s="158" t="s">
        <v>192</v>
      </c>
      <c r="C84" s="148">
        <v>1</v>
      </c>
      <c r="D84" s="150" t="s">
        <v>323</v>
      </c>
      <c r="E84" s="107">
        <v>259</v>
      </c>
      <c r="F84" s="107">
        <f t="shared" si="60"/>
        <v>63</v>
      </c>
      <c r="G84" s="108">
        <v>3106</v>
      </c>
      <c r="H84" s="108" t="s">
        <v>313</v>
      </c>
      <c r="I84" s="109">
        <f t="shared" si="61"/>
        <v>4.4129410277066201E-3</v>
      </c>
      <c r="J84" s="110">
        <f>G84*'Target revenue sheet'!$F$19</f>
        <v>1056.04</v>
      </c>
      <c r="K84" s="111">
        <v>948</v>
      </c>
      <c r="L84" s="112">
        <f t="shared" si="62"/>
        <v>3.5027434462118275E-3</v>
      </c>
      <c r="M84" s="113">
        <f>K84*'Target revenue sheet'!$F$20</f>
        <v>843.72</v>
      </c>
      <c r="N84" s="114">
        <v>12249</v>
      </c>
      <c r="O84" s="115">
        <f t="shared" si="63"/>
        <v>3.2703112923055974E-3</v>
      </c>
      <c r="P84" s="116">
        <f>N84*'Target revenue sheet'!$F$21</f>
        <v>857.43000000000006</v>
      </c>
      <c r="Q84" s="117">
        <v>4314</v>
      </c>
      <c r="R84" s="118">
        <f t="shared" si="64"/>
        <v>1.047718043871068E-3</v>
      </c>
      <c r="S84" s="119">
        <f>Q84*'Target revenue sheet'!$F$22</f>
        <v>258.83999999999997</v>
      </c>
      <c r="T84" s="120">
        <f>'Target revenue sheet'!$F$2</f>
        <v>1000</v>
      </c>
      <c r="U84" s="121">
        <f>(C84-1)*'Target revenue sheet'!$F$1</f>
        <v>0</v>
      </c>
      <c r="V84" s="122">
        <f t="shared" si="65"/>
        <v>4016.03</v>
      </c>
      <c r="W84" s="123">
        <f>IF(V84&lt;'Target revenue sheet'!$F$3,'Target revenue sheet'!$F$3,V84)</f>
        <v>4016.03</v>
      </c>
      <c r="X84" s="123"/>
      <c r="Y84" s="124">
        <v>2930</v>
      </c>
      <c r="Z84" s="125">
        <f t="shared" si="66"/>
        <v>3.9950641187338513E-3</v>
      </c>
      <c r="AA84" s="126">
        <f t="shared" si="90"/>
        <v>29</v>
      </c>
      <c r="AB84" s="151">
        <v>3080</v>
      </c>
      <c r="AC84" s="127">
        <v>3388</v>
      </c>
      <c r="AD84" s="128">
        <f t="shared" si="68"/>
        <v>3314.0075000000002</v>
      </c>
      <c r="AE84" s="129">
        <f t="shared" si="69"/>
        <v>331.40075000000002</v>
      </c>
      <c r="AF84" s="130">
        <f t="shared" si="70"/>
        <v>3645.4082500000004</v>
      </c>
      <c r="AG84" s="131">
        <f t="shared" si="71"/>
        <v>3548.0150000000003</v>
      </c>
      <c r="AH84" s="132">
        <f t="shared" si="72"/>
        <v>354.80150000000003</v>
      </c>
      <c r="AI84" s="133">
        <f t="shared" si="73"/>
        <v>3902.8165000000004</v>
      </c>
      <c r="AJ84" s="134">
        <f t="shared" si="74"/>
        <v>3782.0225</v>
      </c>
      <c r="AK84" s="135">
        <f t="shared" si="75"/>
        <v>378.20225000000005</v>
      </c>
      <c r="AL84" s="136">
        <f t="shared" si="76"/>
        <v>4160.2247500000003</v>
      </c>
      <c r="AM84" s="137">
        <f t="shared" si="77"/>
        <v>4016.03</v>
      </c>
      <c r="AN84" s="137">
        <f t="shared" si="78"/>
        <v>401.60300000000007</v>
      </c>
      <c r="AO84" s="138">
        <f t="shared" si="79"/>
        <v>4417.6329999999998</v>
      </c>
      <c r="AP84" s="139">
        <f t="shared" si="80"/>
        <v>936.0300000000002</v>
      </c>
      <c r="AQ84" s="140">
        <f t="shared" si="81"/>
        <v>0.30390584415584421</v>
      </c>
      <c r="AR84" s="141">
        <f t="shared" si="82"/>
        <v>4.1396035251624217E-3</v>
      </c>
      <c r="AS84" s="142">
        <f t="shared" si="83"/>
        <v>65</v>
      </c>
      <c r="AT84" s="143" t="str">
        <f t="shared" si="84"/>
        <v/>
      </c>
      <c r="AU84" s="144" t="str">
        <f t="shared" si="85"/>
        <v/>
      </c>
      <c r="AV84" s="260">
        <v>2625</v>
      </c>
      <c r="AW84" s="146" t="str">
        <f t="shared" si="86"/>
        <v/>
      </c>
      <c r="AX84" s="146">
        <f t="shared" si="87"/>
        <v>4016.03</v>
      </c>
      <c r="AY84" s="146" t="str">
        <f t="shared" si="88"/>
        <v/>
      </c>
      <c r="AZ84" s="146" t="str">
        <f t="shared" si="89"/>
        <v/>
      </c>
      <c r="BA84" s="42">
        <v>84</v>
      </c>
    </row>
    <row r="85" spans="1:53" ht="18" customHeight="1" x14ac:dyDescent="0.25">
      <c r="A85" s="147" t="s">
        <v>198</v>
      </c>
      <c r="B85" s="105" t="s">
        <v>199</v>
      </c>
      <c r="C85" s="147">
        <v>1</v>
      </c>
      <c r="D85" s="106" t="s">
        <v>325</v>
      </c>
      <c r="E85" s="107">
        <v>124</v>
      </c>
      <c r="F85" s="107">
        <f t="shared" si="60"/>
        <v>28</v>
      </c>
      <c r="G85" s="108">
        <v>4937</v>
      </c>
      <c r="H85" s="108" t="s">
        <v>312</v>
      </c>
      <c r="I85" s="109">
        <f t="shared" si="61"/>
        <v>7.0143882336727572E-3</v>
      </c>
      <c r="J85" s="110">
        <f>G85*'Target revenue sheet'!$F$19</f>
        <v>1678.5800000000002</v>
      </c>
      <c r="K85" s="111">
        <v>1677</v>
      </c>
      <c r="L85" s="112">
        <f t="shared" si="62"/>
        <v>6.1963088178240873E-3</v>
      </c>
      <c r="M85" s="113">
        <f>K85*'Target revenue sheet'!$F$20</f>
        <v>1492.53</v>
      </c>
      <c r="N85" s="114">
        <v>24733</v>
      </c>
      <c r="O85" s="115">
        <f t="shared" si="63"/>
        <v>6.6033642903579343E-3</v>
      </c>
      <c r="P85" s="116">
        <f>N85*'Target revenue sheet'!$F$21</f>
        <v>1731.3100000000002</v>
      </c>
      <c r="Q85" s="117">
        <v>62654</v>
      </c>
      <c r="R85" s="118">
        <f t="shared" si="64"/>
        <v>1.5216440964464046E-2</v>
      </c>
      <c r="S85" s="119">
        <f>Q85*'Target revenue sheet'!$F$22</f>
        <v>3759.24</v>
      </c>
      <c r="T85" s="120">
        <f>'Target revenue sheet'!$F$2</f>
        <v>1000</v>
      </c>
      <c r="U85" s="121">
        <f>(C85-1)*'Target revenue sheet'!$F$1</f>
        <v>0</v>
      </c>
      <c r="V85" s="122">
        <f t="shared" si="65"/>
        <v>9661.66</v>
      </c>
      <c r="W85" s="123">
        <f>IF(V85&lt;'Target revenue sheet'!$F$3,'Target revenue sheet'!$F$3,V85)</f>
        <v>9661.66</v>
      </c>
      <c r="X85" s="123"/>
      <c r="Y85" s="124">
        <v>5286</v>
      </c>
      <c r="Z85" s="125">
        <f t="shared" si="66"/>
        <v>7.2074774510672819E-3</v>
      </c>
      <c r="AA85" s="126">
        <f t="shared" si="90"/>
        <v>21</v>
      </c>
      <c r="AB85" s="127">
        <v>5445</v>
      </c>
      <c r="AC85" s="127"/>
      <c r="AD85" s="128">
        <f t="shared" si="68"/>
        <v>6499.165</v>
      </c>
      <c r="AE85" s="129">
        <f t="shared" si="69"/>
        <v>0</v>
      </c>
      <c r="AF85" s="130">
        <f t="shared" si="70"/>
        <v>6499.165</v>
      </c>
      <c r="AG85" s="131">
        <f t="shared" si="71"/>
        <v>7553.33</v>
      </c>
      <c r="AH85" s="132">
        <f t="shared" si="72"/>
        <v>0</v>
      </c>
      <c r="AI85" s="133">
        <f t="shared" si="73"/>
        <v>7553.33</v>
      </c>
      <c r="AJ85" s="134">
        <f t="shared" si="74"/>
        <v>8607.494999999999</v>
      </c>
      <c r="AK85" s="135">
        <f t="shared" si="75"/>
        <v>0</v>
      </c>
      <c r="AL85" s="136">
        <f t="shared" si="76"/>
        <v>8607.494999999999</v>
      </c>
      <c r="AM85" s="137">
        <f t="shared" si="77"/>
        <v>9661.66</v>
      </c>
      <c r="AN85" s="137">
        <f t="shared" si="78"/>
        <v>0</v>
      </c>
      <c r="AO85" s="138">
        <f t="shared" si="79"/>
        <v>9661.66</v>
      </c>
      <c r="AP85" s="139">
        <f t="shared" si="80"/>
        <v>4216.66</v>
      </c>
      <c r="AQ85" s="140">
        <f t="shared" si="81"/>
        <v>0.77440955004591361</v>
      </c>
      <c r="AR85" s="141">
        <f t="shared" si="82"/>
        <v>9.0535908697985477E-3</v>
      </c>
      <c r="AS85" s="142">
        <f t="shared" si="83"/>
        <v>21</v>
      </c>
      <c r="AT85" s="143" t="str">
        <f t="shared" si="84"/>
        <v/>
      </c>
      <c r="AU85" s="144" t="str">
        <f t="shared" si="85"/>
        <v/>
      </c>
      <c r="AV85" s="260">
        <v>1750</v>
      </c>
      <c r="AW85" s="146" t="str">
        <f t="shared" si="86"/>
        <v/>
      </c>
      <c r="AX85" s="146" t="str">
        <f t="shared" si="87"/>
        <v/>
      </c>
      <c r="AY85" s="146">
        <f t="shared" si="88"/>
        <v>9661.66</v>
      </c>
      <c r="AZ85" s="146" t="str">
        <f t="shared" si="89"/>
        <v/>
      </c>
      <c r="BA85" s="42">
        <v>87</v>
      </c>
    </row>
    <row r="86" spans="1:53" ht="18" customHeight="1" x14ac:dyDescent="0.25">
      <c r="A86" s="147" t="s">
        <v>194</v>
      </c>
      <c r="B86" s="105" t="s">
        <v>195</v>
      </c>
      <c r="C86" s="147">
        <v>1</v>
      </c>
      <c r="D86" s="106" t="s">
        <v>325</v>
      </c>
      <c r="E86" s="107">
        <v>222</v>
      </c>
      <c r="F86" s="107">
        <f t="shared" si="60"/>
        <v>57</v>
      </c>
      <c r="G86" s="108">
        <v>2199</v>
      </c>
      <c r="H86" s="108" t="s">
        <v>313</v>
      </c>
      <c r="I86" s="109">
        <f t="shared" si="61"/>
        <v>3.1242940502018215E-3</v>
      </c>
      <c r="J86" s="110">
        <f>G86*'Target revenue sheet'!$F$19</f>
        <v>747.66000000000008</v>
      </c>
      <c r="K86" s="111">
        <v>859</v>
      </c>
      <c r="L86" s="112">
        <f t="shared" si="62"/>
        <v>3.1738993884978476E-3</v>
      </c>
      <c r="M86" s="113">
        <f>K86*'Target revenue sheet'!$F$20</f>
        <v>764.51</v>
      </c>
      <c r="N86" s="114">
        <v>21991</v>
      </c>
      <c r="O86" s="115">
        <f t="shared" si="63"/>
        <v>5.8712887279853375E-3</v>
      </c>
      <c r="P86" s="116">
        <f>N86*'Target revenue sheet'!$F$21</f>
        <v>1539.3700000000001</v>
      </c>
      <c r="Q86" s="117">
        <v>9977</v>
      </c>
      <c r="R86" s="118">
        <f t="shared" si="64"/>
        <v>2.4230604830091898E-3</v>
      </c>
      <c r="S86" s="119">
        <f>Q86*'Target revenue sheet'!$F$22</f>
        <v>598.62</v>
      </c>
      <c r="T86" s="120">
        <f>'Target revenue sheet'!$F$2</f>
        <v>1000</v>
      </c>
      <c r="U86" s="121">
        <f>(C86-1)*'Target revenue sheet'!$F$1</f>
        <v>0</v>
      </c>
      <c r="V86" s="122">
        <f t="shared" si="65"/>
        <v>4650.16</v>
      </c>
      <c r="W86" s="123">
        <f>IF(V86&lt;'Target revenue sheet'!$F$3,'Target revenue sheet'!$F$3,V86)</f>
        <v>4650.16</v>
      </c>
      <c r="X86" s="123"/>
      <c r="Y86" s="124">
        <v>2930</v>
      </c>
      <c r="Z86" s="125">
        <f t="shared" si="66"/>
        <v>3.9950641187338513E-3</v>
      </c>
      <c r="AA86" s="126">
        <f t="shared" si="90"/>
        <v>29</v>
      </c>
      <c r="AB86" s="127">
        <v>3080</v>
      </c>
      <c r="AC86" s="127"/>
      <c r="AD86" s="128">
        <f t="shared" si="68"/>
        <v>3472.54</v>
      </c>
      <c r="AE86" s="129">
        <f t="shared" si="69"/>
        <v>0</v>
      </c>
      <c r="AF86" s="130">
        <f t="shared" si="70"/>
        <v>3472.54</v>
      </c>
      <c r="AG86" s="131">
        <f t="shared" si="71"/>
        <v>3865.08</v>
      </c>
      <c r="AH86" s="132">
        <f t="shared" si="72"/>
        <v>0</v>
      </c>
      <c r="AI86" s="133">
        <f t="shared" si="73"/>
        <v>3865.08</v>
      </c>
      <c r="AJ86" s="134">
        <f t="shared" si="74"/>
        <v>4257.62</v>
      </c>
      <c r="AK86" s="135">
        <f t="shared" si="75"/>
        <v>0</v>
      </c>
      <c r="AL86" s="136">
        <f t="shared" si="76"/>
        <v>4257.62</v>
      </c>
      <c r="AM86" s="137">
        <f t="shared" si="77"/>
        <v>4650.16</v>
      </c>
      <c r="AN86" s="137">
        <f t="shared" si="78"/>
        <v>0</v>
      </c>
      <c r="AO86" s="138">
        <f t="shared" si="79"/>
        <v>4650.16</v>
      </c>
      <c r="AP86" s="139">
        <f t="shared" si="80"/>
        <v>1570.1599999999999</v>
      </c>
      <c r="AQ86" s="140">
        <f t="shared" si="81"/>
        <v>0.5097922077922078</v>
      </c>
      <c r="AR86" s="141">
        <f t="shared" si="82"/>
        <v>4.3574961361818173E-3</v>
      </c>
      <c r="AS86" s="142">
        <f t="shared" si="83"/>
        <v>58</v>
      </c>
      <c r="AT86" s="143" t="str">
        <f t="shared" si="84"/>
        <v/>
      </c>
      <c r="AU86" s="144" t="str">
        <f t="shared" si="85"/>
        <v/>
      </c>
      <c r="AV86" s="260">
        <v>875</v>
      </c>
      <c r="AW86" s="146" t="str">
        <f t="shared" si="86"/>
        <v/>
      </c>
      <c r="AX86" s="146">
        <f t="shared" si="87"/>
        <v>4650.16</v>
      </c>
      <c r="AY86" s="146" t="str">
        <f t="shared" si="88"/>
        <v/>
      </c>
      <c r="AZ86" s="146" t="str">
        <f t="shared" si="89"/>
        <v/>
      </c>
      <c r="BA86" s="42">
        <v>85</v>
      </c>
    </row>
    <row r="87" spans="1:53" ht="18" customHeight="1" x14ac:dyDescent="0.25">
      <c r="A87" s="104" t="s">
        <v>196</v>
      </c>
      <c r="B87" s="105" t="s">
        <v>197</v>
      </c>
      <c r="C87" s="104">
        <v>1</v>
      </c>
      <c r="D87" s="106" t="s">
        <v>325</v>
      </c>
      <c r="E87" s="107">
        <v>202</v>
      </c>
      <c r="F87" s="107">
        <f t="shared" si="60"/>
        <v>51</v>
      </c>
      <c r="G87" s="108">
        <v>1939</v>
      </c>
      <c r="H87" s="108" t="s">
        <v>311</v>
      </c>
      <c r="I87" s="109">
        <f t="shared" si="61"/>
        <v>2.7548913885135661E-3</v>
      </c>
      <c r="J87" s="110">
        <f>G87*'Target revenue sheet'!$F$19</f>
        <v>659.26</v>
      </c>
      <c r="K87" s="111">
        <v>1195</v>
      </c>
      <c r="L87" s="112">
        <f t="shared" si="62"/>
        <v>4.4153780782944449E-3</v>
      </c>
      <c r="M87" s="113">
        <f>K87*'Target revenue sheet'!$F$20</f>
        <v>1063.55</v>
      </c>
      <c r="N87" s="114">
        <v>21556</v>
      </c>
      <c r="O87" s="115">
        <f t="shared" si="63"/>
        <v>5.7551498258583932E-3</v>
      </c>
      <c r="P87" s="116">
        <f>N87*'Target revenue sheet'!$F$21</f>
        <v>1508.92</v>
      </c>
      <c r="Q87" s="117">
        <v>16647</v>
      </c>
      <c r="R87" s="118">
        <f t="shared" si="64"/>
        <v>4.0429676115720141E-3</v>
      </c>
      <c r="S87" s="119">
        <f>Q87*'Target revenue sheet'!$F$22</f>
        <v>998.81999999999994</v>
      </c>
      <c r="T87" s="120">
        <f>'Target revenue sheet'!$F$2</f>
        <v>1000</v>
      </c>
      <c r="U87" s="121">
        <f>(C87-1)*'Target revenue sheet'!$F$1</f>
        <v>0</v>
      </c>
      <c r="V87" s="122">
        <f t="shared" si="65"/>
        <v>5230.55</v>
      </c>
      <c r="W87" s="123">
        <f>IF(V87&lt;'Target revenue sheet'!$F$3,'Target revenue sheet'!$F$3,V87)</f>
        <v>5230.55</v>
      </c>
      <c r="X87" s="123"/>
      <c r="Y87" s="124">
        <v>2930</v>
      </c>
      <c r="Z87" s="125">
        <f t="shared" si="66"/>
        <v>3.9950641187338513E-3</v>
      </c>
      <c r="AA87" s="126">
        <f t="shared" si="90"/>
        <v>29</v>
      </c>
      <c r="AB87" s="127">
        <v>3080</v>
      </c>
      <c r="AC87" s="127"/>
      <c r="AD87" s="128">
        <f t="shared" si="68"/>
        <v>3617.6374999999998</v>
      </c>
      <c r="AE87" s="129">
        <f t="shared" si="69"/>
        <v>0</v>
      </c>
      <c r="AF87" s="130">
        <f t="shared" si="70"/>
        <v>3617.6374999999998</v>
      </c>
      <c r="AG87" s="131">
        <f t="shared" si="71"/>
        <v>4155.2749999999996</v>
      </c>
      <c r="AH87" s="132">
        <f t="shared" si="72"/>
        <v>0</v>
      </c>
      <c r="AI87" s="133">
        <f t="shared" si="73"/>
        <v>4155.2749999999996</v>
      </c>
      <c r="AJ87" s="134">
        <f t="shared" si="74"/>
        <v>4692.9125000000004</v>
      </c>
      <c r="AK87" s="135">
        <f t="shared" si="75"/>
        <v>0</v>
      </c>
      <c r="AL87" s="136">
        <f t="shared" si="76"/>
        <v>4692.9125000000004</v>
      </c>
      <c r="AM87" s="137">
        <f t="shared" si="77"/>
        <v>5230.55</v>
      </c>
      <c r="AN87" s="137">
        <f t="shared" si="78"/>
        <v>0</v>
      </c>
      <c r="AO87" s="138">
        <f t="shared" si="79"/>
        <v>5230.55</v>
      </c>
      <c r="AP87" s="139">
        <f t="shared" si="80"/>
        <v>2150.5500000000002</v>
      </c>
      <c r="AQ87" s="140">
        <f t="shared" si="81"/>
        <v>0.69823051948051951</v>
      </c>
      <c r="AR87" s="141">
        <f t="shared" si="82"/>
        <v>4.9013585371483568E-3</v>
      </c>
      <c r="AS87" s="142">
        <f t="shared" si="83"/>
        <v>51</v>
      </c>
      <c r="AT87" s="143" t="str">
        <f t="shared" si="84"/>
        <v/>
      </c>
      <c r="AU87" s="144" t="str">
        <f t="shared" si="85"/>
        <v/>
      </c>
      <c r="AV87" s="260">
        <v>1750</v>
      </c>
      <c r="AW87" s="146">
        <f t="shared" si="86"/>
        <v>5230.55</v>
      </c>
      <c r="AX87" s="146" t="str">
        <f t="shared" si="87"/>
        <v/>
      </c>
      <c r="AY87" s="146" t="str">
        <f t="shared" si="88"/>
        <v/>
      </c>
      <c r="AZ87" s="146" t="str">
        <f t="shared" si="89"/>
        <v/>
      </c>
      <c r="BA87" s="42">
        <v>86</v>
      </c>
    </row>
    <row r="88" spans="1:53" ht="18" customHeight="1" x14ac:dyDescent="0.25">
      <c r="A88" s="104" t="s">
        <v>202</v>
      </c>
      <c r="B88" s="152" t="s">
        <v>203</v>
      </c>
      <c r="C88" s="104">
        <v>1</v>
      </c>
      <c r="D88" s="106" t="s">
        <v>325</v>
      </c>
      <c r="E88" s="107">
        <v>356</v>
      </c>
      <c r="F88" s="107">
        <f t="shared" si="60"/>
        <v>91</v>
      </c>
      <c r="G88" s="108">
        <v>704</v>
      </c>
      <c r="H88" s="108" t="s">
        <v>311</v>
      </c>
      <c r="I88" s="109">
        <f t="shared" si="61"/>
        <v>1.000228745494353E-3</v>
      </c>
      <c r="J88" s="110">
        <f>G88*'Target revenue sheet'!$F$19</f>
        <v>239.36</v>
      </c>
      <c r="K88" s="111">
        <v>259</v>
      </c>
      <c r="L88" s="112">
        <f t="shared" si="62"/>
        <v>9.569731567182102E-4</v>
      </c>
      <c r="M88" s="113">
        <f>K88*'Target revenue sheet'!$F$20</f>
        <v>230.51</v>
      </c>
      <c r="N88" s="114">
        <v>9208</v>
      </c>
      <c r="O88" s="115">
        <f t="shared" si="63"/>
        <v>2.4584069213445946E-3</v>
      </c>
      <c r="P88" s="116">
        <f>N88*'Target revenue sheet'!$F$21</f>
        <v>644.56000000000006</v>
      </c>
      <c r="Q88" s="117">
        <v>3602</v>
      </c>
      <c r="R88" s="118">
        <f t="shared" si="64"/>
        <v>8.7479842235131829E-4</v>
      </c>
      <c r="S88" s="119">
        <f>Q88*'Target revenue sheet'!$F$22</f>
        <v>216.12</v>
      </c>
      <c r="T88" s="120">
        <f>'Target revenue sheet'!$F$2</f>
        <v>1000</v>
      </c>
      <c r="U88" s="121">
        <f>(C88-1)*'Target revenue sheet'!$F$1</f>
        <v>0</v>
      </c>
      <c r="V88" s="122">
        <f t="shared" si="65"/>
        <v>2330.5500000000002</v>
      </c>
      <c r="W88" s="123">
        <f>IF(V88&lt;'Target revenue sheet'!$F$3,'Target revenue sheet'!$F$3,V88)</f>
        <v>3200</v>
      </c>
      <c r="X88" s="123"/>
      <c r="Y88" s="124">
        <v>1750</v>
      </c>
      <c r="Z88" s="125">
        <f t="shared" si="66"/>
        <v>2.3861304463427438E-3</v>
      </c>
      <c r="AA88" s="126">
        <f t="shared" si="90"/>
        <v>58</v>
      </c>
      <c r="AB88" s="127">
        <v>1900</v>
      </c>
      <c r="AC88" s="127"/>
      <c r="AD88" s="128">
        <f t="shared" si="68"/>
        <v>2225</v>
      </c>
      <c r="AE88" s="129">
        <f t="shared" si="69"/>
        <v>0</v>
      </c>
      <c r="AF88" s="130">
        <f t="shared" si="70"/>
        <v>2225</v>
      </c>
      <c r="AG88" s="131">
        <f t="shared" si="71"/>
        <v>2550</v>
      </c>
      <c r="AH88" s="132">
        <f t="shared" si="72"/>
        <v>0</v>
      </c>
      <c r="AI88" s="133">
        <f t="shared" si="73"/>
        <v>2550</v>
      </c>
      <c r="AJ88" s="134">
        <f t="shared" si="74"/>
        <v>2875</v>
      </c>
      <c r="AK88" s="135">
        <f t="shared" si="75"/>
        <v>0</v>
      </c>
      <c r="AL88" s="136">
        <f t="shared" si="76"/>
        <v>2875</v>
      </c>
      <c r="AM88" s="137">
        <f t="shared" si="77"/>
        <v>3200</v>
      </c>
      <c r="AN88" s="137">
        <f t="shared" si="78"/>
        <v>0</v>
      </c>
      <c r="AO88" s="138">
        <f t="shared" si="79"/>
        <v>3200</v>
      </c>
      <c r="AP88" s="139">
        <f t="shared" si="80"/>
        <v>1300</v>
      </c>
      <c r="AQ88" s="140">
        <f t="shared" si="81"/>
        <v>0.68421052631578949</v>
      </c>
      <c r="AR88" s="141">
        <f t="shared" si="82"/>
        <v>2.9986038406811409E-3</v>
      </c>
      <c r="AS88" s="142">
        <f t="shared" si="83"/>
        <v>81</v>
      </c>
      <c r="AT88" s="143" t="str">
        <f t="shared" si="84"/>
        <v/>
      </c>
      <c r="AU88" s="144" t="str">
        <f t="shared" si="85"/>
        <v/>
      </c>
      <c r="AV88" s="261">
        <v>3500</v>
      </c>
      <c r="AW88" s="146">
        <f t="shared" si="86"/>
        <v>3200</v>
      </c>
      <c r="AX88" s="146" t="str">
        <f t="shared" si="87"/>
        <v/>
      </c>
      <c r="AY88" s="146" t="str">
        <f t="shared" si="88"/>
        <v/>
      </c>
      <c r="AZ88" s="146" t="str">
        <f t="shared" si="89"/>
        <v/>
      </c>
      <c r="BA88" s="42">
        <v>89</v>
      </c>
    </row>
    <row r="89" spans="1:53" ht="18" customHeight="1" x14ac:dyDescent="0.25">
      <c r="A89" s="147" t="s">
        <v>204</v>
      </c>
      <c r="B89" s="152" t="s">
        <v>205</v>
      </c>
      <c r="C89" s="147">
        <v>1</v>
      </c>
      <c r="D89" s="106" t="s">
        <v>325</v>
      </c>
      <c r="E89" s="107">
        <v>261</v>
      </c>
      <c r="F89" s="107">
        <f t="shared" si="60"/>
        <v>64</v>
      </c>
      <c r="G89" s="108">
        <v>2078</v>
      </c>
      <c r="H89" s="108" t="s">
        <v>313</v>
      </c>
      <c r="I89" s="109">
        <f t="shared" si="61"/>
        <v>2.9523797345699797E-3</v>
      </c>
      <c r="J89" s="110">
        <f>G89*'Target revenue sheet'!$F$19</f>
        <v>706.5200000000001</v>
      </c>
      <c r="K89" s="111">
        <v>1008</v>
      </c>
      <c r="L89" s="112">
        <f t="shared" si="62"/>
        <v>3.724436069389791E-3</v>
      </c>
      <c r="M89" s="113">
        <f>K89*'Target revenue sheet'!$F$20</f>
        <v>897.12</v>
      </c>
      <c r="N89" s="114">
        <v>11287</v>
      </c>
      <c r="O89" s="115">
        <f t="shared" si="63"/>
        <v>3.0134707777168162E-3</v>
      </c>
      <c r="P89" s="116">
        <f>N89*'Target revenue sheet'!$F$21</f>
        <v>790.09</v>
      </c>
      <c r="Q89" s="117">
        <v>8319</v>
      </c>
      <c r="R89" s="118">
        <f t="shared" si="64"/>
        <v>2.0203909149196604E-3</v>
      </c>
      <c r="S89" s="119">
        <f>Q89*'Target revenue sheet'!$F$22</f>
        <v>499.14</v>
      </c>
      <c r="T89" s="120">
        <f>'Target revenue sheet'!$F$2</f>
        <v>1000</v>
      </c>
      <c r="U89" s="121">
        <f>(C89-1)*'Target revenue sheet'!$F$1</f>
        <v>0</v>
      </c>
      <c r="V89" s="122">
        <f t="shared" si="65"/>
        <v>3892.87</v>
      </c>
      <c r="W89" s="123">
        <f>IF(V89&lt;'Target revenue sheet'!$F$3,'Target revenue sheet'!$F$3,V89)</f>
        <v>3892.87</v>
      </c>
      <c r="X89" s="123"/>
      <c r="Y89" s="124">
        <v>1750</v>
      </c>
      <c r="Z89" s="125">
        <f t="shared" si="66"/>
        <v>2.3861304463427438E-3</v>
      </c>
      <c r="AA89" s="126">
        <f t="shared" si="90"/>
        <v>58</v>
      </c>
      <c r="AB89" s="127">
        <v>1900</v>
      </c>
      <c r="AC89" s="127"/>
      <c r="AD89" s="128">
        <f t="shared" si="68"/>
        <v>2398.2174999999997</v>
      </c>
      <c r="AE89" s="129">
        <f t="shared" si="69"/>
        <v>0</v>
      </c>
      <c r="AF89" s="130">
        <f t="shared" si="70"/>
        <v>2398.2174999999997</v>
      </c>
      <c r="AG89" s="131">
        <f t="shared" si="71"/>
        <v>2896.4349999999999</v>
      </c>
      <c r="AH89" s="132">
        <f t="shared" si="72"/>
        <v>0</v>
      </c>
      <c r="AI89" s="133">
        <f t="shared" si="73"/>
        <v>2896.4349999999999</v>
      </c>
      <c r="AJ89" s="134">
        <f t="shared" si="74"/>
        <v>3394.6525000000001</v>
      </c>
      <c r="AK89" s="135">
        <f t="shared" si="75"/>
        <v>0</v>
      </c>
      <c r="AL89" s="136">
        <f t="shared" si="76"/>
        <v>3394.6525000000001</v>
      </c>
      <c r="AM89" s="137">
        <f t="shared" si="77"/>
        <v>3892.87</v>
      </c>
      <c r="AN89" s="137">
        <f t="shared" si="78"/>
        <v>0</v>
      </c>
      <c r="AO89" s="138">
        <f t="shared" si="79"/>
        <v>3892.87</v>
      </c>
      <c r="AP89" s="139">
        <f t="shared" si="80"/>
        <v>1992.87</v>
      </c>
      <c r="AQ89" s="140">
        <f t="shared" si="81"/>
        <v>1.048878947368421</v>
      </c>
      <c r="AR89" s="141">
        <f t="shared" si="82"/>
        <v>3.6478671666476227E-3</v>
      </c>
      <c r="AS89" s="142">
        <f t="shared" si="83"/>
        <v>69</v>
      </c>
      <c r="AT89" s="143">
        <f t="shared" si="84"/>
        <v>1992.87</v>
      </c>
      <c r="AU89" s="144" t="str">
        <f t="shared" si="85"/>
        <v/>
      </c>
      <c r="AV89" s="260">
        <v>1750</v>
      </c>
      <c r="AW89" s="146" t="str">
        <f t="shared" si="86"/>
        <v/>
      </c>
      <c r="AX89" s="146">
        <f t="shared" si="87"/>
        <v>3892.87</v>
      </c>
      <c r="AY89" s="146" t="str">
        <f t="shared" si="88"/>
        <v/>
      </c>
      <c r="AZ89" s="146" t="str">
        <f t="shared" si="89"/>
        <v/>
      </c>
      <c r="BA89" s="42">
        <v>90</v>
      </c>
    </row>
    <row r="90" spans="1:53" ht="18" customHeight="1" x14ac:dyDescent="0.25">
      <c r="A90" s="147" t="s">
        <v>200</v>
      </c>
      <c r="B90" s="152" t="s">
        <v>201</v>
      </c>
      <c r="C90" s="147">
        <v>1</v>
      </c>
      <c r="D90" s="106" t="s">
        <v>325</v>
      </c>
      <c r="E90" s="107">
        <v>371</v>
      </c>
      <c r="F90" s="107">
        <f t="shared" si="60"/>
        <v>95</v>
      </c>
      <c r="G90" s="108">
        <v>596</v>
      </c>
      <c r="H90" s="108" t="s">
        <v>311</v>
      </c>
      <c r="I90" s="109">
        <f t="shared" si="61"/>
        <v>8.4678456294692394E-4</v>
      </c>
      <c r="J90" s="110">
        <f>G90*'Target revenue sheet'!$F$19</f>
        <v>202.64000000000001</v>
      </c>
      <c r="K90" s="111">
        <v>326</v>
      </c>
      <c r="L90" s="112">
        <f t="shared" si="62"/>
        <v>1.2045299192669364E-3</v>
      </c>
      <c r="M90" s="113">
        <f>K90*'Target revenue sheet'!$F$20</f>
        <v>290.14</v>
      </c>
      <c r="N90" s="114">
        <v>9017</v>
      </c>
      <c r="O90" s="115">
        <f t="shared" si="63"/>
        <v>2.4074125988015E-3</v>
      </c>
      <c r="P90" s="116">
        <f>N90*'Target revenue sheet'!$F$21</f>
        <v>631.19000000000005</v>
      </c>
      <c r="Q90" s="117">
        <v>2177</v>
      </c>
      <c r="R90" s="118">
        <f t="shared" si="64"/>
        <v>5.2871631467485284E-4</v>
      </c>
      <c r="S90" s="119">
        <f>Q90*'Target revenue sheet'!$F$22</f>
        <v>130.62</v>
      </c>
      <c r="T90" s="120">
        <f>'Target revenue sheet'!$F$2</f>
        <v>1000</v>
      </c>
      <c r="U90" s="121">
        <f>(C90-1)*'Target revenue sheet'!$F$1</f>
        <v>0</v>
      </c>
      <c r="V90" s="122">
        <f t="shared" si="65"/>
        <v>2254.59</v>
      </c>
      <c r="W90" s="123">
        <f>IF(V90&lt;'Target revenue sheet'!$F$3,'Target revenue sheet'!$F$3,V90)</f>
        <v>3200</v>
      </c>
      <c r="X90" s="123"/>
      <c r="Y90" s="124">
        <v>1750</v>
      </c>
      <c r="Z90" s="125">
        <f t="shared" si="66"/>
        <v>2.3861304463427438E-3</v>
      </c>
      <c r="AA90" s="126">
        <f t="shared" si="90"/>
        <v>58</v>
      </c>
      <c r="AB90" s="127">
        <v>1900</v>
      </c>
      <c r="AC90" s="127"/>
      <c r="AD90" s="128">
        <f t="shared" si="68"/>
        <v>2225</v>
      </c>
      <c r="AE90" s="129">
        <f t="shared" si="69"/>
        <v>0</v>
      </c>
      <c r="AF90" s="130">
        <f t="shared" si="70"/>
        <v>2225</v>
      </c>
      <c r="AG90" s="131">
        <f t="shared" si="71"/>
        <v>2550</v>
      </c>
      <c r="AH90" s="132">
        <f t="shared" si="72"/>
        <v>0</v>
      </c>
      <c r="AI90" s="133">
        <f t="shared" si="73"/>
        <v>2550</v>
      </c>
      <c r="AJ90" s="134">
        <f t="shared" si="74"/>
        <v>2875</v>
      </c>
      <c r="AK90" s="135">
        <f t="shared" si="75"/>
        <v>0</v>
      </c>
      <c r="AL90" s="136">
        <f t="shared" si="76"/>
        <v>2875</v>
      </c>
      <c r="AM90" s="137">
        <f t="shared" si="77"/>
        <v>3200</v>
      </c>
      <c r="AN90" s="137">
        <f t="shared" si="78"/>
        <v>0</v>
      </c>
      <c r="AO90" s="138">
        <f t="shared" si="79"/>
        <v>3200</v>
      </c>
      <c r="AP90" s="139">
        <f t="shared" si="80"/>
        <v>1300</v>
      </c>
      <c r="AQ90" s="140">
        <f t="shared" si="81"/>
        <v>0.68421052631578949</v>
      </c>
      <c r="AR90" s="141">
        <f t="shared" si="82"/>
        <v>2.9986038406811409E-3</v>
      </c>
      <c r="AS90" s="142">
        <f t="shared" si="83"/>
        <v>81</v>
      </c>
      <c r="AT90" s="143" t="str">
        <f t="shared" si="84"/>
        <v/>
      </c>
      <c r="AU90" s="144" t="str">
        <f t="shared" si="85"/>
        <v/>
      </c>
      <c r="AV90" s="261">
        <v>3500</v>
      </c>
      <c r="AW90" s="146">
        <f t="shared" si="86"/>
        <v>3200</v>
      </c>
      <c r="AX90" s="146" t="str">
        <f t="shared" si="87"/>
        <v/>
      </c>
      <c r="AY90" s="146" t="str">
        <f t="shared" si="88"/>
        <v/>
      </c>
      <c r="AZ90" s="146" t="str">
        <f t="shared" si="89"/>
        <v/>
      </c>
      <c r="BA90" s="42">
        <v>88</v>
      </c>
    </row>
    <row r="91" spans="1:53" ht="18" customHeight="1" x14ac:dyDescent="0.25">
      <c r="A91" s="147" t="s">
        <v>206</v>
      </c>
      <c r="B91" s="152" t="s">
        <v>207</v>
      </c>
      <c r="C91" s="147">
        <v>1</v>
      </c>
      <c r="D91" s="106" t="s">
        <v>325</v>
      </c>
      <c r="E91" s="107">
        <v>298</v>
      </c>
      <c r="F91" s="107">
        <f t="shared" si="60"/>
        <v>76</v>
      </c>
      <c r="G91" s="108">
        <v>1514</v>
      </c>
      <c r="H91" s="108" t="s">
        <v>311</v>
      </c>
      <c r="I91" s="109">
        <f t="shared" si="61"/>
        <v>2.1510601146000718E-3</v>
      </c>
      <c r="J91" s="110">
        <f>G91*'Target revenue sheet'!$F$19</f>
        <v>514.76</v>
      </c>
      <c r="K91" s="111">
        <v>397</v>
      </c>
      <c r="L91" s="112">
        <f t="shared" si="62"/>
        <v>1.4668661900275267E-3</v>
      </c>
      <c r="M91" s="113">
        <f>K91*'Target revenue sheet'!$F$20</f>
        <v>353.33</v>
      </c>
      <c r="N91" s="114">
        <v>21668</v>
      </c>
      <c r="O91" s="115">
        <f t="shared" si="63"/>
        <v>5.7850522558313073E-3</v>
      </c>
      <c r="P91" s="116">
        <f>N91*'Target revenue sheet'!$F$21</f>
        <v>1516.7600000000002</v>
      </c>
      <c r="Q91" s="117">
        <v>2974</v>
      </c>
      <c r="R91" s="118">
        <f t="shared" si="64"/>
        <v>7.222794303367075E-4</v>
      </c>
      <c r="S91" s="119">
        <f>Q91*'Target revenue sheet'!$F$22</f>
        <v>178.44</v>
      </c>
      <c r="T91" s="120">
        <f>'Target revenue sheet'!$F$2</f>
        <v>1000</v>
      </c>
      <c r="U91" s="121">
        <f>(C91-1)*'Target revenue sheet'!$F$1</f>
        <v>0</v>
      </c>
      <c r="V91" s="122">
        <f t="shared" si="65"/>
        <v>3563.2900000000004</v>
      </c>
      <c r="W91" s="123">
        <f>IF(V91&lt;'Target revenue sheet'!$F$3,'Target revenue sheet'!$F$3,V91)</f>
        <v>3563.2900000000004</v>
      </c>
      <c r="X91" s="123"/>
      <c r="Y91" s="124">
        <v>1750</v>
      </c>
      <c r="Z91" s="125">
        <f t="shared" si="66"/>
        <v>2.3861304463427438E-3</v>
      </c>
      <c r="AA91" s="126">
        <f t="shared" si="90"/>
        <v>58</v>
      </c>
      <c r="AB91" s="127">
        <v>1900</v>
      </c>
      <c r="AC91" s="127"/>
      <c r="AD91" s="128">
        <f t="shared" si="68"/>
        <v>2315.8225000000002</v>
      </c>
      <c r="AE91" s="129">
        <f t="shared" si="69"/>
        <v>0</v>
      </c>
      <c r="AF91" s="130">
        <f t="shared" si="70"/>
        <v>2315.8225000000002</v>
      </c>
      <c r="AG91" s="131">
        <f t="shared" si="71"/>
        <v>2731.6450000000004</v>
      </c>
      <c r="AH91" s="132">
        <f t="shared" si="72"/>
        <v>0</v>
      </c>
      <c r="AI91" s="133">
        <f t="shared" si="73"/>
        <v>2731.6450000000004</v>
      </c>
      <c r="AJ91" s="134">
        <f t="shared" si="74"/>
        <v>3147.4675000000002</v>
      </c>
      <c r="AK91" s="135">
        <f t="shared" si="75"/>
        <v>0</v>
      </c>
      <c r="AL91" s="136">
        <f t="shared" si="76"/>
        <v>3147.4675000000002</v>
      </c>
      <c r="AM91" s="137">
        <f t="shared" si="77"/>
        <v>3563.2900000000004</v>
      </c>
      <c r="AN91" s="137">
        <f t="shared" si="78"/>
        <v>0</v>
      </c>
      <c r="AO91" s="138">
        <f t="shared" si="79"/>
        <v>3563.2900000000004</v>
      </c>
      <c r="AP91" s="139">
        <f t="shared" si="80"/>
        <v>1663.2900000000004</v>
      </c>
      <c r="AQ91" s="140">
        <f t="shared" si="81"/>
        <v>0.87541578947368448</v>
      </c>
      <c r="AR91" s="141">
        <f t="shared" si="82"/>
        <v>3.3390297123314702E-3</v>
      </c>
      <c r="AS91" s="142">
        <f t="shared" si="83"/>
        <v>76</v>
      </c>
      <c r="AT91" s="143" t="str">
        <f t="shared" si="84"/>
        <v/>
      </c>
      <c r="AU91" s="144" t="str">
        <f t="shared" si="85"/>
        <v/>
      </c>
      <c r="AV91" s="261">
        <v>3500</v>
      </c>
      <c r="AW91" s="146">
        <f t="shared" si="86"/>
        <v>3563.2900000000004</v>
      </c>
      <c r="AX91" s="146" t="str">
        <f t="shared" si="87"/>
        <v/>
      </c>
      <c r="AY91" s="146" t="str">
        <f t="shared" si="88"/>
        <v/>
      </c>
      <c r="AZ91" s="146" t="str">
        <f t="shared" si="89"/>
        <v/>
      </c>
      <c r="BA91" s="42">
        <v>91</v>
      </c>
    </row>
    <row r="92" spans="1:53" ht="18" customHeight="1" x14ac:dyDescent="0.25">
      <c r="A92" s="104" t="s">
        <v>210</v>
      </c>
      <c r="B92" s="105" t="s">
        <v>211</v>
      </c>
      <c r="C92" s="104">
        <v>2</v>
      </c>
      <c r="D92" s="106" t="s">
        <v>325</v>
      </c>
      <c r="E92" s="107">
        <v>30</v>
      </c>
      <c r="F92" s="107">
        <f t="shared" si="60"/>
        <v>6</v>
      </c>
      <c r="G92" s="108">
        <v>24589</v>
      </c>
      <c r="H92" s="108" t="s">
        <v>314</v>
      </c>
      <c r="I92" s="109">
        <f t="shared" si="61"/>
        <v>3.4935546339432737E-2</v>
      </c>
      <c r="J92" s="110">
        <f>G92*'Target revenue sheet'!$F$19</f>
        <v>8360.26</v>
      </c>
      <c r="K92" s="111">
        <v>8125</v>
      </c>
      <c r="L92" s="112">
        <f t="shared" si="62"/>
        <v>3.0020876055349258E-2</v>
      </c>
      <c r="M92" s="113">
        <f>K92*'Target revenue sheet'!$F$20</f>
        <v>7231.25</v>
      </c>
      <c r="N92" s="114">
        <v>83853</v>
      </c>
      <c r="O92" s="115">
        <f t="shared" si="63"/>
        <v>2.2387575540346254E-2</v>
      </c>
      <c r="P92" s="116">
        <f>N92*'Target revenue sheet'!$F$21</f>
        <v>5869.7100000000009</v>
      </c>
      <c r="Q92" s="117">
        <v>167884</v>
      </c>
      <c r="R92" s="118">
        <f t="shared" si="64"/>
        <v>4.077308671238998E-2</v>
      </c>
      <c r="S92" s="119">
        <f>Q92*'Target revenue sheet'!$F$22</f>
        <v>10073.039999999999</v>
      </c>
      <c r="T92" s="120">
        <f>'Target revenue sheet'!$F$2</f>
        <v>1000</v>
      </c>
      <c r="U92" s="121">
        <f>(C92-1)*'Target revenue sheet'!$F$1</f>
        <v>2000</v>
      </c>
      <c r="V92" s="122">
        <f t="shared" si="65"/>
        <v>34534.26</v>
      </c>
      <c r="W92" s="123">
        <f>IF(V92&lt;'Target revenue sheet'!$F$3,'Target revenue sheet'!$F$3,V92)</f>
        <v>34534.26</v>
      </c>
      <c r="X92" s="123"/>
      <c r="Y92" s="124">
        <v>22490</v>
      </c>
      <c r="Z92" s="125">
        <f t="shared" si="66"/>
        <v>3.0665184993284748E-2</v>
      </c>
      <c r="AA92" s="126">
        <f t="shared" si="90"/>
        <v>13</v>
      </c>
      <c r="AB92" s="127">
        <v>23165</v>
      </c>
      <c r="AC92" s="127"/>
      <c r="AD92" s="128">
        <f t="shared" si="68"/>
        <v>26007.315000000002</v>
      </c>
      <c r="AE92" s="129">
        <f t="shared" si="69"/>
        <v>0</v>
      </c>
      <c r="AF92" s="130">
        <f t="shared" si="70"/>
        <v>26007.315000000002</v>
      </c>
      <c r="AG92" s="131">
        <f t="shared" si="71"/>
        <v>28849.63</v>
      </c>
      <c r="AH92" s="132">
        <f t="shared" si="72"/>
        <v>0</v>
      </c>
      <c r="AI92" s="133">
        <f t="shared" si="73"/>
        <v>28849.63</v>
      </c>
      <c r="AJ92" s="134">
        <f t="shared" si="74"/>
        <v>31691.945</v>
      </c>
      <c r="AK92" s="135">
        <f t="shared" si="75"/>
        <v>0</v>
      </c>
      <c r="AL92" s="136">
        <f t="shared" si="76"/>
        <v>31691.945</v>
      </c>
      <c r="AM92" s="137">
        <f t="shared" si="77"/>
        <v>34534.26</v>
      </c>
      <c r="AN92" s="137">
        <f t="shared" si="78"/>
        <v>0</v>
      </c>
      <c r="AO92" s="138">
        <f t="shared" si="79"/>
        <v>34534.26</v>
      </c>
      <c r="AP92" s="139">
        <f t="shared" si="80"/>
        <v>11369.260000000002</v>
      </c>
      <c r="AQ92" s="140">
        <f t="shared" si="81"/>
        <v>0.4907947334340601</v>
      </c>
      <c r="AR92" s="141">
        <f t="shared" si="82"/>
        <v>3.2360801459712846E-2</v>
      </c>
      <c r="AS92" s="142">
        <f t="shared" si="83"/>
        <v>7</v>
      </c>
      <c r="AT92" s="143" t="str">
        <f t="shared" si="84"/>
        <v/>
      </c>
      <c r="AU92" s="144" t="str">
        <f t="shared" si="85"/>
        <v/>
      </c>
      <c r="AV92" s="260">
        <v>2625</v>
      </c>
      <c r="AW92" s="146" t="str">
        <f t="shared" si="86"/>
        <v/>
      </c>
      <c r="AX92" s="146" t="str">
        <f t="shared" si="87"/>
        <v/>
      </c>
      <c r="AY92" s="146" t="str">
        <f t="shared" si="88"/>
        <v/>
      </c>
      <c r="AZ92" s="146">
        <f t="shared" si="89"/>
        <v>34534.26</v>
      </c>
      <c r="BA92" s="42">
        <v>93</v>
      </c>
    </row>
    <row r="93" spans="1:53" ht="18" customHeight="1" x14ac:dyDescent="0.25">
      <c r="A93" s="104" t="s">
        <v>208</v>
      </c>
      <c r="B93" s="105" t="s">
        <v>209</v>
      </c>
      <c r="C93" s="104">
        <v>4</v>
      </c>
      <c r="D93" s="106" t="s">
        <v>325</v>
      </c>
      <c r="E93" s="107">
        <v>49</v>
      </c>
      <c r="F93" s="107">
        <f t="shared" si="60"/>
        <v>12</v>
      </c>
      <c r="G93" s="108">
        <v>16831</v>
      </c>
      <c r="H93" s="108" t="s">
        <v>314</v>
      </c>
      <c r="I93" s="109">
        <f t="shared" si="61"/>
        <v>2.391313922644241E-2</v>
      </c>
      <c r="J93" s="110">
        <f>G93*'Target revenue sheet'!$F$19</f>
        <v>5722.54</v>
      </c>
      <c r="K93" s="111">
        <v>3805</v>
      </c>
      <c r="L93" s="112">
        <f t="shared" si="62"/>
        <v>1.4059007186535868E-2</v>
      </c>
      <c r="M93" s="113">
        <f>K93*'Target revenue sheet'!$F$20</f>
        <v>3386.4500000000003</v>
      </c>
      <c r="N93" s="114">
        <v>89117</v>
      </c>
      <c r="O93" s="115">
        <f t="shared" si="63"/>
        <v>2.3792989749073224E-2</v>
      </c>
      <c r="P93" s="116">
        <f>N93*'Target revenue sheet'!$F$21</f>
        <v>6238.1900000000005</v>
      </c>
      <c r="Q93" s="117">
        <v>77639</v>
      </c>
      <c r="R93" s="118">
        <f t="shared" si="64"/>
        <v>1.8855767549398668E-2</v>
      </c>
      <c r="S93" s="119">
        <f>Q93*'Target revenue sheet'!$F$22</f>
        <v>4658.34</v>
      </c>
      <c r="T93" s="120">
        <f>'Target revenue sheet'!$F$2</f>
        <v>1000</v>
      </c>
      <c r="U93" s="121">
        <f>(C93-1)*'Target revenue sheet'!$F$1</f>
        <v>6000</v>
      </c>
      <c r="V93" s="122">
        <f t="shared" si="65"/>
        <v>27005.52</v>
      </c>
      <c r="W93" s="123">
        <f>IF(V93&lt;'Target revenue sheet'!$F$3,'Target revenue sheet'!$F$3,V93)</f>
        <v>27005.52</v>
      </c>
      <c r="X93" s="123">
        <v>1.04</v>
      </c>
      <c r="Y93" s="124">
        <v>25808</v>
      </c>
      <c r="Z93" s="125">
        <f t="shared" si="66"/>
        <v>3.5189288319550587E-2</v>
      </c>
      <c r="AA93" s="126">
        <f t="shared" si="90"/>
        <v>9</v>
      </c>
      <c r="AB93" s="127">
        <v>26582</v>
      </c>
      <c r="AC93" s="127"/>
      <c r="AD93" s="128">
        <f t="shared" si="68"/>
        <v>26847.82</v>
      </c>
      <c r="AE93" s="129">
        <f t="shared" si="69"/>
        <v>0</v>
      </c>
      <c r="AF93" s="130">
        <f t="shared" si="70"/>
        <v>26847.82</v>
      </c>
      <c r="AG93" s="131">
        <f t="shared" si="71"/>
        <v>27113.64</v>
      </c>
      <c r="AH93" s="132">
        <f t="shared" si="72"/>
        <v>0</v>
      </c>
      <c r="AI93" s="133">
        <f t="shared" si="73"/>
        <v>27113.64</v>
      </c>
      <c r="AJ93" s="134">
        <f t="shared" si="74"/>
        <v>27379.460000000003</v>
      </c>
      <c r="AK93" s="135">
        <f t="shared" si="75"/>
        <v>0</v>
      </c>
      <c r="AL93" s="136">
        <f t="shared" si="76"/>
        <v>27379.460000000003</v>
      </c>
      <c r="AM93" s="137">
        <f t="shared" si="77"/>
        <v>27645.280000000002</v>
      </c>
      <c r="AN93" s="137">
        <f t="shared" si="78"/>
        <v>0</v>
      </c>
      <c r="AO93" s="138">
        <f t="shared" si="79"/>
        <v>27645.280000000002</v>
      </c>
      <c r="AP93" s="139">
        <f t="shared" si="80"/>
        <v>1063.2800000000025</v>
      </c>
      <c r="AQ93" s="140">
        <f t="shared" si="81"/>
        <v>4.0000000000000091E-2</v>
      </c>
      <c r="AR93" s="141">
        <f t="shared" si="82"/>
        <v>2.5905388370220481E-2</v>
      </c>
      <c r="AS93" s="142">
        <f t="shared" si="83"/>
        <v>11</v>
      </c>
      <c r="AT93" s="143" t="str">
        <f t="shared" si="84"/>
        <v/>
      </c>
      <c r="AU93" s="144" t="str">
        <f t="shared" si="85"/>
        <v/>
      </c>
      <c r="AV93" s="261">
        <v>3500</v>
      </c>
      <c r="AW93" s="146" t="str">
        <f t="shared" si="86"/>
        <v/>
      </c>
      <c r="AX93" s="146" t="str">
        <f t="shared" si="87"/>
        <v/>
      </c>
      <c r="AY93" s="146" t="str">
        <f t="shared" si="88"/>
        <v/>
      </c>
      <c r="AZ93" s="146">
        <f t="shared" si="89"/>
        <v>27645.280000000002</v>
      </c>
      <c r="BA93" s="42">
        <v>92</v>
      </c>
    </row>
    <row r="94" spans="1:53" ht="19.5" customHeight="1" x14ac:dyDescent="0.25">
      <c r="A94" s="153" t="s">
        <v>213</v>
      </c>
      <c r="B94" s="158" t="s">
        <v>214</v>
      </c>
      <c r="C94" s="153">
        <v>1</v>
      </c>
      <c r="D94" s="150" t="s">
        <v>323</v>
      </c>
      <c r="E94" s="107">
        <v>307</v>
      </c>
      <c r="F94" s="107">
        <f t="shared" si="60"/>
        <v>80</v>
      </c>
      <c r="G94" s="108">
        <v>2100</v>
      </c>
      <c r="H94" s="108" t="s">
        <v>313</v>
      </c>
      <c r="I94" s="109">
        <f t="shared" si="61"/>
        <v>2.9836368828666782E-3</v>
      </c>
      <c r="J94" s="110">
        <f>G94*'Target revenue sheet'!$F$19</f>
        <v>714</v>
      </c>
      <c r="K94" s="111">
        <v>678</v>
      </c>
      <c r="L94" s="112">
        <f t="shared" si="62"/>
        <v>2.5051266419109904E-3</v>
      </c>
      <c r="M94" s="113">
        <f>K94*'Target revenue sheet'!$F$20</f>
        <v>603.41999999999996</v>
      </c>
      <c r="N94" s="114">
        <v>10307</v>
      </c>
      <c r="O94" s="115">
        <f t="shared" si="63"/>
        <v>2.7518245154538163E-3</v>
      </c>
      <c r="P94" s="116">
        <f>N94*'Target revenue sheet'!$F$21</f>
        <v>721.49000000000012</v>
      </c>
      <c r="Q94" s="117">
        <v>2685</v>
      </c>
      <c r="R94" s="118">
        <f t="shared" si="64"/>
        <v>6.5209155025355067E-4</v>
      </c>
      <c r="S94" s="119">
        <f>Q94*'Target revenue sheet'!$F$22</f>
        <v>161.1</v>
      </c>
      <c r="T94" s="120">
        <f>'Target revenue sheet'!$F$2</f>
        <v>1000</v>
      </c>
      <c r="U94" s="121">
        <f>(C94-1)*'Target revenue sheet'!$F$1</f>
        <v>0</v>
      </c>
      <c r="V94" s="122">
        <f t="shared" si="65"/>
        <v>3200.01</v>
      </c>
      <c r="W94" s="123">
        <f>IF(V94&lt;'Target revenue sheet'!$F$3,'Target revenue sheet'!$F$3,V94)</f>
        <v>3200.01</v>
      </c>
      <c r="X94" s="123"/>
      <c r="Y94" s="124">
        <v>1925</v>
      </c>
      <c r="Z94" s="125">
        <f t="shared" si="66"/>
        <v>2.6247434909770183E-3</v>
      </c>
      <c r="AA94" s="126">
        <f t="shared" si="90"/>
        <v>48</v>
      </c>
      <c r="AB94" s="151">
        <v>1900</v>
      </c>
      <c r="AC94" s="127">
        <v>2090</v>
      </c>
      <c r="AD94" s="128">
        <f t="shared" si="68"/>
        <v>2225.0025000000001</v>
      </c>
      <c r="AE94" s="129">
        <f t="shared" si="69"/>
        <v>222.50025000000002</v>
      </c>
      <c r="AF94" s="130">
        <f t="shared" si="70"/>
        <v>2447.5027500000001</v>
      </c>
      <c r="AG94" s="131">
        <f t="shared" si="71"/>
        <v>2550.0050000000001</v>
      </c>
      <c r="AH94" s="132">
        <f t="shared" si="72"/>
        <v>255.00050000000002</v>
      </c>
      <c r="AI94" s="133">
        <f t="shared" si="73"/>
        <v>2805.0055000000002</v>
      </c>
      <c r="AJ94" s="134">
        <f t="shared" si="74"/>
        <v>2875.0075000000002</v>
      </c>
      <c r="AK94" s="135">
        <f t="shared" si="75"/>
        <v>287.50075000000004</v>
      </c>
      <c r="AL94" s="136">
        <f t="shared" si="76"/>
        <v>3162.5082500000003</v>
      </c>
      <c r="AM94" s="137">
        <f t="shared" si="77"/>
        <v>3200.01</v>
      </c>
      <c r="AN94" s="137">
        <f t="shared" si="78"/>
        <v>320.00100000000003</v>
      </c>
      <c r="AO94" s="138">
        <f t="shared" si="79"/>
        <v>3520.0110000000004</v>
      </c>
      <c r="AP94" s="139">
        <f t="shared" si="80"/>
        <v>1300.0100000000002</v>
      </c>
      <c r="AQ94" s="140">
        <f t="shared" si="81"/>
        <v>0.68421578947368433</v>
      </c>
      <c r="AR94" s="141">
        <f t="shared" si="82"/>
        <v>3.2984745324499578E-3</v>
      </c>
      <c r="AS94" s="142">
        <f t="shared" si="83"/>
        <v>80</v>
      </c>
      <c r="AT94" s="143" t="str">
        <f t="shared" si="84"/>
        <v/>
      </c>
      <c r="AU94" s="144" t="str">
        <f t="shared" si="85"/>
        <v/>
      </c>
      <c r="AV94" s="260">
        <v>875</v>
      </c>
      <c r="AW94" s="146" t="str">
        <f t="shared" si="86"/>
        <v/>
      </c>
      <c r="AX94" s="146">
        <f t="shared" si="87"/>
        <v>3200.01</v>
      </c>
      <c r="AY94" s="146" t="str">
        <f t="shared" si="88"/>
        <v/>
      </c>
      <c r="AZ94" s="146" t="str">
        <f t="shared" si="89"/>
        <v/>
      </c>
      <c r="BA94" s="42">
        <v>94</v>
      </c>
    </row>
    <row r="95" spans="1:53" ht="18" customHeight="1" x14ac:dyDescent="0.25">
      <c r="A95" s="147" t="s">
        <v>216</v>
      </c>
      <c r="B95" s="105" t="s">
        <v>217</v>
      </c>
      <c r="C95" s="147">
        <v>1</v>
      </c>
      <c r="D95" s="106" t="s">
        <v>325</v>
      </c>
      <c r="E95" s="107">
        <v>268</v>
      </c>
      <c r="F95" s="107">
        <f t="shared" si="60"/>
        <v>68</v>
      </c>
      <c r="G95" s="108">
        <v>1574</v>
      </c>
      <c r="H95" s="108" t="s">
        <v>311</v>
      </c>
      <c r="I95" s="109">
        <f t="shared" si="61"/>
        <v>2.236306882681977E-3</v>
      </c>
      <c r="J95" s="110">
        <f>G95*'Target revenue sheet'!$F$19</f>
        <v>535.16000000000008</v>
      </c>
      <c r="K95" s="111">
        <v>1223</v>
      </c>
      <c r="L95" s="112">
        <f t="shared" si="62"/>
        <v>4.5188346357774942E-3</v>
      </c>
      <c r="M95" s="113">
        <f>K95*'Target revenue sheet'!$F$20</f>
        <v>1088.47</v>
      </c>
      <c r="N95" s="114">
        <v>14853</v>
      </c>
      <c r="O95" s="115">
        <f t="shared" si="63"/>
        <v>3.9655427891758547E-3</v>
      </c>
      <c r="P95" s="116">
        <f>N95*'Target revenue sheet'!$F$21</f>
        <v>1039.71</v>
      </c>
      <c r="Q95" s="117">
        <v>4599</v>
      </c>
      <c r="R95" s="118">
        <f t="shared" si="64"/>
        <v>1.1169344654063612E-3</v>
      </c>
      <c r="S95" s="119">
        <f>Q95*'Target revenue sheet'!$F$22</f>
        <v>275.94</v>
      </c>
      <c r="T95" s="120">
        <f>'Target revenue sheet'!$F$2</f>
        <v>1000</v>
      </c>
      <c r="U95" s="121">
        <f>(C95-1)*'Target revenue sheet'!$F$1</f>
        <v>0</v>
      </c>
      <c r="V95" s="122">
        <f t="shared" si="65"/>
        <v>3939.28</v>
      </c>
      <c r="W95" s="123">
        <f>IF(V95&lt;'Target revenue sheet'!$F$3,'Target revenue sheet'!$F$3,V95)</f>
        <v>3939.28</v>
      </c>
      <c r="X95" s="123"/>
      <c r="Y95" s="124">
        <v>2930</v>
      </c>
      <c r="Z95" s="125">
        <f t="shared" si="66"/>
        <v>3.9950641187338513E-3</v>
      </c>
      <c r="AA95" s="126">
        <f t="shared" si="90"/>
        <v>29</v>
      </c>
      <c r="AB95" s="127">
        <v>3080</v>
      </c>
      <c r="AC95" s="127"/>
      <c r="AD95" s="128">
        <f t="shared" si="68"/>
        <v>3294.82</v>
      </c>
      <c r="AE95" s="129">
        <f t="shared" si="69"/>
        <v>0</v>
      </c>
      <c r="AF95" s="130">
        <f t="shared" si="70"/>
        <v>3294.82</v>
      </c>
      <c r="AG95" s="131">
        <f t="shared" si="71"/>
        <v>3509.6400000000003</v>
      </c>
      <c r="AH95" s="132">
        <f t="shared" si="72"/>
        <v>0</v>
      </c>
      <c r="AI95" s="133">
        <f t="shared" si="73"/>
        <v>3509.6400000000003</v>
      </c>
      <c r="AJ95" s="134">
        <f t="shared" si="74"/>
        <v>3724.46</v>
      </c>
      <c r="AK95" s="135">
        <f t="shared" si="75"/>
        <v>0</v>
      </c>
      <c r="AL95" s="136">
        <f t="shared" si="76"/>
        <v>3724.46</v>
      </c>
      <c r="AM95" s="137">
        <f t="shared" si="77"/>
        <v>3939.28</v>
      </c>
      <c r="AN95" s="137">
        <f t="shared" si="78"/>
        <v>0</v>
      </c>
      <c r="AO95" s="138">
        <f t="shared" si="79"/>
        <v>3939.28</v>
      </c>
      <c r="AP95" s="139">
        <f t="shared" si="80"/>
        <v>859.2800000000002</v>
      </c>
      <c r="AQ95" s="140">
        <f t="shared" si="81"/>
        <v>0.27898701298701306</v>
      </c>
      <c r="AR95" s="141">
        <f t="shared" si="82"/>
        <v>3.6913562929745017E-3</v>
      </c>
      <c r="AS95" s="142">
        <f t="shared" si="83"/>
        <v>67</v>
      </c>
      <c r="AT95" s="143" t="str">
        <f t="shared" si="84"/>
        <v/>
      </c>
      <c r="AU95" s="144" t="str">
        <f t="shared" si="85"/>
        <v/>
      </c>
      <c r="AV95" s="261">
        <v>3500</v>
      </c>
      <c r="AW95" s="146">
        <f t="shared" si="86"/>
        <v>3939.28</v>
      </c>
      <c r="AX95" s="146" t="str">
        <f t="shared" si="87"/>
        <v/>
      </c>
      <c r="AY95" s="146" t="str">
        <f t="shared" si="88"/>
        <v/>
      </c>
      <c r="AZ95" s="146" t="str">
        <f t="shared" si="89"/>
        <v/>
      </c>
      <c r="BA95" s="42">
        <v>95</v>
      </c>
    </row>
    <row r="96" spans="1:53" ht="18" customHeight="1" x14ac:dyDescent="0.25">
      <c r="A96" s="104" t="s">
        <v>218</v>
      </c>
      <c r="B96" s="105" t="s">
        <v>219</v>
      </c>
      <c r="C96" s="104">
        <v>1</v>
      </c>
      <c r="D96" s="106" t="s">
        <v>325</v>
      </c>
      <c r="E96" s="107">
        <v>239</v>
      </c>
      <c r="F96" s="107">
        <f t="shared" si="60"/>
        <v>60</v>
      </c>
      <c r="G96" s="108">
        <v>2052</v>
      </c>
      <c r="H96" s="108" t="s">
        <v>313</v>
      </c>
      <c r="I96" s="109">
        <f t="shared" si="61"/>
        <v>2.9154394684011544E-3</v>
      </c>
      <c r="J96" s="110">
        <f>G96*'Target revenue sheet'!$F$19</f>
        <v>697.68000000000006</v>
      </c>
      <c r="K96" s="111">
        <v>490</v>
      </c>
      <c r="L96" s="112">
        <f t="shared" si="62"/>
        <v>1.8104897559533706E-3</v>
      </c>
      <c r="M96" s="113">
        <f>K96*'Target revenue sheet'!$F$20</f>
        <v>436.1</v>
      </c>
      <c r="N96" s="114">
        <v>16963</v>
      </c>
      <c r="O96" s="115">
        <f t="shared" si="63"/>
        <v>4.5288832109870074E-3</v>
      </c>
      <c r="P96" s="116">
        <f>N96*'Target revenue sheet'!$F$21</f>
        <v>1187.4100000000001</v>
      </c>
      <c r="Q96" s="117">
        <v>17849</v>
      </c>
      <c r="R96" s="118">
        <f t="shared" si="64"/>
        <v>4.3348909052050751E-3</v>
      </c>
      <c r="S96" s="119">
        <f>Q96*'Target revenue sheet'!$F$22</f>
        <v>1070.94</v>
      </c>
      <c r="T96" s="120">
        <f>'Target revenue sheet'!$F$2</f>
        <v>1000</v>
      </c>
      <c r="U96" s="121">
        <f>(C96-1)*'Target revenue sheet'!$F$1</f>
        <v>0</v>
      </c>
      <c r="V96" s="122">
        <f t="shared" si="65"/>
        <v>4392.130000000001</v>
      </c>
      <c r="W96" s="123">
        <f>IF(V96&lt;'Target revenue sheet'!$F$3,'Target revenue sheet'!$F$3,V96)</f>
        <v>4392.130000000001</v>
      </c>
      <c r="X96" s="123"/>
      <c r="Y96" s="124">
        <v>2930</v>
      </c>
      <c r="Z96" s="125">
        <f t="shared" si="66"/>
        <v>3.9950641187338513E-3</v>
      </c>
      <c r="AA96" s="126">
        <f t="shared" si="90"/>
        <v>29</v>
      </c>
      <c r="AB96" s="127">
        <v>3080</v>
      </c>
      <c r="AC96" s="127"/>
      <c r="AD96" s="128">
        <f t="shared" si="68"/>
        <v>3408.0325000000003</v>
      </c>
      <c r="AE96" s="129">
        <f t="shared" si="69"/>
        <v>0</v>
      </c>
      <c r="AF96" s="130">
        <f t="shared" si="70"/>
        <v>3408.0325000000003</v>
      </c>
      <c r="AG96" s="131">
        <f t="shared" si="71"/>
        <v>3736.0650000000005</v>
      </c>
      <c r="AH96" s="132">
        <f t="shared" si="72"/>
        <v>0</v>
      </c>
      <c r="AI96" s="133">
        <f t="shared" si="73"/>
        <v>3736.0650000000005</v>
      </c>
      <c r="AJ96" s="134">
        <f t="shared" si="74"/>
        <v>4064.0975000000008</v>
      </c>
      <c r="AK96" s="135">
        <f t="shared" si="75"/>
        <v>0</v>
      </c>
      <c r="AL96" s="136">
        <f t="shared" si="76"/>
        <v>4064.0975000000008</v>
      </c>
      <c r="AM96" s="137">
        <f t="shared" si="77"/>
        <v>4392.130000000001</v>
      </c>
      <c r="AN96" s="137">
        <f t="shared" si="78"/>
        <v>0</v>
      </c>
      <c r="AO96" s="138">
        <f t="shared" si="79"/>
        <v>4392.130000000001</v>
      </c>
      <c r="AP96" s="139">
        <f t="shared" si="80"/>
        <v>1312.130000000001</v>
      </c>
      <c r="AQ96" s="140">
        <f t="shared" si="81"/>
        <v>0.4260162337662341</v>
      </c>
      <c r="AR96" s="141">
        <f t="shared" si="82"/>
        <v>4.1157055896158951E-3</v>
      </c>
      <c r="AS96" s="142">
        <f t="shared" si="83"/>
        <v>60</v>
      </c>
      <c r="AT96" s="143" t="str">
        <f t="shared" si="84"/>
        <v/>
      </c>
      <c r="AU96" s="144" t="str">
        <f t="shared" si="85"/>
        <v/>
      </c>
      <c r="AV96" s="261">
        <v>3500</v>
      </c>
      <c r="AW96" s="146" t="str">
        <f t="shared" si="86"/>
        <v/>
      </c>
      <c r="AX96" s="146">
        <f t="shared" si="87"/>
        <v>4392.130000000001</v>
      </c>
      <c r="AY96" s="146" t="str">
        <f t="shared" si="88"/>
        <v/>
      </c>
      <c r="AZ96" s="146" t="str">
        <f t="shared" si="89"/>
        <v/>
      </c>
      <c r="BA96" s="42">
        <v>96</v>
      </c>
    </row>
    <row r="97" spans="1:53" ht="18" customHeight="1" x14ac:dyDescent="0.25">
      <c r="A97" s="104" t="s">
        <v>180</v>
      </c>
      <c r="B97" s="105" t="s">
        <v>181</v>
      </c>
      <c r="C97" s="104">
        <v>2</v>
      </c>
      <c r="D97" s="106" t="s">
        <v>325</v>
      </c>
      <c r="E97" s="107">
        <v>99</v>
      </c>
      <c r="F97" s="107">
        <f t="shared" si="60"/>
        <v>20</v>
      </c>
      <c r="G97" s="108">
        <v>7073</v>
      </c>
      <c r="H97" s="108" t="s">
        <v>312</v>
      </c>
      <c r="I97" s="109">
        <f t="shared" si="61"/>
        <v>1.0049173177388579E-2</v>
      </c>
      <c r="J97" s="110">
        <f>G97*'Target revenue sheet'!$F$19</f>
        <v>2404.8200000000002</v>
      </c>
      <c r="K97" s="111">
        <v>2035</v>
      </c>
      <c r="L97" s="112">
        <f t="shared" si="62"/>
        <v>7.5190748027859373E-3</v>
      </c>
      <c r="M97" s="113">
        <f>K97*'Target revenue sheet'!$F$20</f>
        <v>1811.15</v>
      </c>
      <c r="N97" s="114">
        <v>33217</v>
      </c>
      <c r="O97" s="115">
        <f t="shared" si="63"/>
        <v>8.8684733608061905E-3</v>
      </c>
      <c r="P97" s="116">
        <f>N97*'Target revenue sheet'!$F$21</f>
        <v>2325.19</v>
      </c>
      <c r="Q97" s="117">
        <v>30533</v>
      </c>
      <c r="R97" s="118">
        <f t="shared" si="64"/>
        <v>7.4153859604810662E-3</v>
      </c>
      <c r="S97" s="119">
        <f>Q97*'Target revenue sheet'!$F$22</f>
        <v>1831.98</v>
      </c>
      <c r="T97" s="120">
        <f>'Target revenue sheet'!$F$2</f>
        <v>1000</v>
      </c>
      <c r="U97" s="121">
        <f>(C97-1)*'Target revenue sheet'!$F$1</f>
        <v>2000</v>
      </c>
      <c r="V97" s="122">
        <f t="shared" si="65"/>
        <v>11373.14</v>
      </c>
      <c r="W97" s="123">
        <f>IF(V97&lt;'Target revenue sheet'!$F$3,'Target revenue sheet'!$F$3,V97)</f>
        <v>11373.14</v>
      </c>
      <c r="X97" s="123"/>
      <c r="Y97" s="124">
        <v>6576</v>
      </c>
      <c r="Z97" s="125">
        <f t="shared" si="66"/>
        <v>8.9663964657999331E-3</v>
      </c>
      <c r="AA97" s="126">
        <f t="shared" si="90"/>
        <v>20</v>
      </c>
      <c r="AB97" s="127">
        <v>6773</v>
      </c>
      <c r="AC97" s="127"/>
      <c r="AD97" s="128">
        <f t="shared" si="68"/>
        <v>7923.0349999999999</v>
      </c>
      <c r="AE97" s="129">
        <f t="shared" si="69"/>
        <v>0</v>
      </c>
      <c r="AF97" s="130">
        <f t="shared" si="70"/>
        <v>7923.0349999999999</v>
      </c>
      <c r="AG97" s="131">
        <f t="shared" si="71"/>
        <v>9073.07</v>
      </c>
      <c r="AH97" s="132">
        <f t="shared" si="72"/>
        <v>0</v>
      </c>
      <c r="AI97" s="133">
        <f t="shared" si="73"/>
        <v>9073.07</v>
      </c>
      <c r="AJ97" s="134">
        <f t="shared" si="74"/>
        <v>10223.105</v>
      </c>
      <c r="AK97" s="135">
        <f t="shared" si="75"/>
        <v>0</v>
      </c>
      <c r="AL97" s="136">
        <f t="shared" si="76"/>
        <v>10223.105</v>
      </c>
      <c r="AM97" s="137">
        <f t="shared" si="77"/>
        <v>11373.14</v>
      </c>
      <c r="AN97" s="137">
        <f t="shared" si="78"/>
        <v>0</v>
      </c>
      <c r="AO97" s="138">
        <f t="shared" si="79"/>
        <v>11373.14</v>
      </c>
      <c r="AP97" s="139">
        <f t="shared" si="80"/>
        <v>4600.1399999999994</v>
      </c>
      <c r="AQ97" s="140">
        <f t="shared" si="81"/>
        <v>0.6791879521630001</v>
      </c>
      <c r="AR97" s="141">
        <f t="shared" si="82"/>
        <v>1.0657356651438847E-2</v>
      </c>
      <c r="AS97" s="142">
        <f t="shared" si="83"/>
        <v>19</v>
      </c>
      <c r="AT97" s="143" t="str">
        <f t="shared" si="84"/>
        <v/>
      </c>
      <c r="AU97" s="144" t="str">
        <f t="shared" si="85"/>
        <v/>
      </c>
      <c r="AV97" s="260">
        <v>2625</v>
      </c>
      <c r="AW97" s="146" t="str">
        <f t="shared" si="86"/>
        <v/>
      </c>
      <c r="AX97" s="146" t="str">
        <f t="shared" si="87"/>
        <v/>
      </c>
      <c r="AY97" s="146">
        <f t="shared" si="88"/>
        <v>11373.14</v>
      </c>
      <c r="AZ97" s="146" t="str">
        <f t="shared" si="89"/>
        <v/>
      </c>
      <c r="BA97" s="42">
        <v>79</v>
      </c>
    </row>
    <row r="98" spans="1:53" s="160" customFormat="1" ht="18" customHeight="1" x14ac:dyDescent="0.25">
      <c r="A98" s="159"/>
      <c r="D98" s="161">
        <f>COUNTIF(D2:D97,"Yes")</f>
        <v>11</v>
      </c>
      <c r="E98" s="162"/>
      <c r="F98" s="162"/>
      <c r="G98" s="163">
        <f>SUM(G2:G97)</f>
        <v>703839</v>
      </c>
      <c r="H98" s="163"/>
      <c r="I98" s="164"/>
      <c r="J98" s="162">
        <f>SUM(J2:J97)</f>
        <v>239305.26</v>
      </c>
      <c r="K98" s="165">
        <f>SUM(K2:K97)</f>
        <v>270645</v>
      </c>
      <c r="L98" s="166"/>
      <c r="M98" s="162">
        <f>SUM(M2:M97)</f>
        <v>240874.05000000002</v>
      </c>
      <c r="N98" s="167">
        <f>SUM(N2:N97)</f>
        <v>3745515</v>
      </c>
      <c r="O98" s="166"/>
      <c r="P98" s="162">
        <f>SUM(P2:P97)</f>
        <v>262186.05000000005</v>
      </c>
      <c r="Q98" s="165">
        <f>SUM(Q2:Q97)</f>
        <v>4117520</v>
      </c>
      <c r="R98" s="166"/>
      <c r="S98" s="162">
        <f>SUM(S2:S97)</f>
        <v>247051.20000000004</v>
      </c>
      <c r="T98" s="162">
        <f>SUM(T2:T97)</f>
        <v>96000</v>
      </c>
      <c r="U98" s="162">
        <f>SUM(U2:U97)</f>
        <v>34000</v>
      </c>
      <c r="V98" s="162">
        <f>SUM(V2:V97)</f>
        <v>1119416.5600000005</v>
      </c>
      <c r="W98" s="162">
        <f>SUM(W2:W97)</f>
        <v>1128740.1900000004</v>
      </c>
      <c r="X98" s="162"/>
      <c r="Y98" s="162">
        <f>SUM(Y2:Y97)</f>
        <v>733405</v>
      </c>
      <c r="Z98" s="168">
        <f t="shared" ref="Z98" si="91">Y98/$Y$98</f>
        <v>1</v>
      </c>
      <c r="AA98" s="169"/>
      <c r="AB98" s="170">
        <f>SUM(AB2:AB97)</f>
        <v>758649</v>
      </c>
      <c r="AC98" s="170"/>
      <c r="AD98" s="171">
        <f>SUM(AD2:AD97)</f>
        <v>834585.21499999973</v>
      </c>
      <c r="AE98" s="171">
        <f>SUM(AE2:AE97)</f>
        <v>2848.3625000000002</v>
      </c>
      <c r="AF98" s="130">
        <f t="shared" ref="AF98" si="92">AD98+AE98</f>
        <v>837433.57749999978</v>
      </c>
      <c r="AG98" s="133">
        <f t="shared" ref="AG98:AN98" si="93">SUM(AG2:AG97)</f>
        <v>910521.43000000017</v>
      </c>
      <c r="AH98" s="133">
        <f t="shared" si="93"/>
        <v>3488.7249999999999</v>
      </c>
      <c r="AI98" s="133">
        <f t="shared" si="93"/>
        <v>914010.15499999991</v>
      </c>
      <c r="AJ98" s="136">
        <f t="shared" si="93"/>
        <v>986457.64499999979</v>
      </c>
      <c r="AK98" s="136">
        <f t="shared" si="93"/>
        <v>4129.0875000000005</v>
      </c>
      <c r="AL98" s="136">
        <f t="shared" si="93"/>
        <v>990586.73249999993</v>
      </c>
      <c r="AM98" s="172">
        <f t="shared" si="93"/>
        <v>1062393.8600000003</v>
      </c>
      <c r="AN98" s="173">
        <f t="shared" si="93"/>
        <v>4769.4500000000007</v>
      </c>
      <c r="AO98" s="138">
        <f t="shared" ref="AO98" si="94">AM98+AN98</f>
        <v>1067163.3100000003</v>
      </c>
      <c r="AP98" s="173">
        <f>SUM(AP2:AP97)</f>
        <v>303744.86</v>
      </c>
      <c r="AQ98" s="174"/>
      <c r="AR98" s="173"/>
      <c r="AS98" s="175"/>
      <c r="AT98" s="176">
        <f>SUM(AT2:AT97)</f>
        <v>152760.68000000002</v>
      </c>
      <c r="AU98" s="176">
        <f>SUM(AU2:AU97)</f>
        <v>89321.450000000012</v>
      </c>
      <c r="AV98" s="145"/>
      <c r="AW98" s="177">
        <f>SUM(AW2:AW97)</f>
        <v>127346.07</v>
      </c>
      <c r="AX98" s="177">
        <f>SUM(AX2:AX97)</f>
        <v>128590.06000000001</v>
      </c>
      <c r="AY98" s="177">
        <f>SUM(AY2:AY97)</f>
        <v>194174.25</v>
      </c>
      <c r="AZ98" s="177">
        <f>SUM(AZ2:AZ97)</f>
        <v>612283.4800000001</v>
      </c>
      <c r="BA98" s="42">
        <v>97</v>
      </c>
    </row>
    <row r="99" spans="1:53" ht="18" customHeight="1" x14ac:dyDescent="0.25">
      <c r="BA99" s="42">
        <v>98</v>
      </c>
    </row>
    <row r="100" spans="1:53" ht="18" customHeight="1" x14ac:dyDescent="0.25">
      <c r="BA100" s="42">
        <v>99</v>
      </c>
    </row>
    <row r="101" spans="1:53" ht="18" customHeight="1" x14ac:dyDescent="0.25">
      <c r="BA101" s="42">
        <v>100</v>
      </c>
    </row>
    <row r="102" spans="1:53" ht="18" customHeight="1" x14ac:dyDescent="0.25">
      <c r="BA102" s="42">
        <v>101</v>
      </c>
    </row>
    <row r="103" spans="1:53" ht="18" customHeight="1" x14ac:dyDescent="0.25">
      <c r="BA103" s="42">
        <v>102</v>
      </c>
    </row>
    <row r="104" spans="1:53" ht="18" customHeight="1" x14ac:dyDescent="0.25">
      <c r="BA104" s="42">
        <v>103</v>
      </c>
    </row>
    <row r="105" spans="1:53" ht="18" customHeight="1" x14ac:dyDescent="0.25">
      <c r="BA105" s="42">
        <v>104</v>
      </c>
    </row>
    <row r="106" spans="1:53" ht="18" customHeight="1" x14ac:dyDescent="0.25">
      <c r="BA106" s="42">
        <v>105</v>
      </c>
    </row>
    <row r="107" spans="1:53" ht="18" customHeight="1" x14ac:dyDescent="0.25">
      <c r="BA107" s="42">
        <v>106</v>
      </c>
    </row>
    <row r="108" spans="1:53" ht="18" customHeight="1" x14ac:dyDescent="0.25">
      <c r="BA108" s="42">
        <v>107</v>
      </c>
    </row>
    <row r="109" spans="1:53" ht="18" customHeight="1" x14ac:dyDescent="0.25">
      <c r="BA109" s="42">
        <v>108</v>
      </c>
    </row>
    <row r="110" spans="1:53" ht="18" customHeight="1" x14ac:dyDescent="0.25">
      <c r="BA110" s="42">
        <v>109</v>
      </c>
    </row>
    <row r="111" spans="1:53" ht="18" customHeight="1" x14ac:dyDescent="0.25">
      <c r="BA111" s="42">
        <v>110</v>
      </c>
    </row>
    <row r="112" spans="1:53" ht="18" customHeight="1" x14ac:dyDescent="0.25">
      <c r="BA112" s="42">
        <v>111</v>
      </c>
    </row>
  </sheetData>
  <autoFilter ref="A1:BB112" xr:uid="{C78CC3FB-EE1C-46BF-B72C-63317A224C11}">
    <sortState xmlns:xlrd2="http://schemas.microsoft.com/office/spreadsheetml/2017/richdata2" ref="A2:BB112">
      <sortCondition ref="B1:B112"/>
    </sortState>
  </autoFilter>
  <sortState xmlns:xlrd2="http://schemas.microsoft.com/office/spreadsheetml/2017/richdata2" ref="A2:AM98">
    <sortCondition ref="A1:A98"/>
  </sortState>
  <conditionalFormatting sqref="V1:V97">
    <cfRule type="cellIs" dxfId="12" priority="7" operator="lessThan">
      <formula>3200</formula>
    </cfRule>
  </conditionalFormatting>
  <conditionalFormatting sqref="AE98">
    <cfRule type="cellIs" dxfId="11" priority="16" operator="lessThan">
      <formula>0</formula>
    </cfRule>
  </conditionalFormatting>
  <conditionalFormatting sqref="AE2:AF2 AE3:AE97 AF3:AF98">
    <cfRule type="cellIs" dxfId="10" priority="18" operator="equal">
      <formula>3200</formula>
    </cfRule>
  </conditionalFormatting>
  <conditionalFormatting sqref="AG98:AL98 AN98">
    <cfRule type="cellIs" dxfId="9" priority="19" operator="lessThan">
      <formula>0</formula>
    </cfRule>
  </conditionalFormatting>
  <conditionalFormatting sqref="AH2:AH97">
    <cfRule type="cellIs" dxfId="8" priority="15" operator="equal">
      <formula>3200</formula>
    </cfRule>
  </conditionalFormatting>
  <conditionalFormatting sqref="AK2:AK97">
    <cfRule type="cellIs" dxfId="7" priority="14" operator="equal">
      <formula>3200</formula>
    </cfRule>
  </conditionalFormatting>
  <conditionalFormatting sqref="AM1:AM97">
    <cfRule type="cellIs" dxfId="6" priority="8" operator="equal">
      <formula>3200</formula>
    </cfRule>
  </conditionalFormatting>
  <conditionalFormatting sqref="AN3:AN97">
    <cfRule type="cellIs" dxfId="5" priority="20" operator="equal">
      <formula>3200</formula>
    </cfRule>
  </conditionalFormatting>
  <conditionalFormatting sqref="AP2:AP97">
    <cfRule type="top10" dxfId="4" priority="1" percent="1" rank="10"/>
  </conditionalFormatting>
  <conditionalFormatting sqref="AP2:AQ97">
    <cfRule type="cellIs" dxfId="3" priority="23" operator="equal">
      <formula>3200</formula>
    </cfRule>
    <cfRule type="cellIs" dxfId="2" priority="24" operator="equal">
      <formula>77953.31</formula>
    </cfRule>
    <cfRule type="cellIs" dxfId="1" priority="25" operator="equal">
      <formula>3200</formula>
    </cfRule>
  </conditionalFormatting>
  <conditionalFormatting sqref="AQ2:AQ97">
    <cfRule type="dataBar" priority="21">
      <dataBar>
        <cfvo type="min"/>
        <cfvo type="max"/>
        <color rgb="FFFF555A"/>
      </dataBar>
      <extLst>
        <ext xmlns:x14="http://schemas.microsoft.com/office/spreadsheetml/2009/9/main" uri="{B025F937-C7B1-47D3-B67F-A62EFF666E3E}">
          <x14:id>{E820EE82-9E0F-A24A-AAF4-0AAE3B09BA35}</x14:id>
        </ext>
      </extLst>
    </cfRule>
  </conditionalFormatting>
  <conditionalFormatting sqref="AQ2:AQ98 W1:AA97 AN2:AO2 AO3:AO98">
    <cfRule type="cellIs" dxfId="0" priority="26" operator="equal">
      <formula>3200</formula>
    </cfRule>
  </conditionalFormatting>
  <conditionalFormatting sqref="AV1:AV1048576">
    <cfRule type="colorScale" priority="27">
      <colorScale>
        <cfvo type="min"/>
        <cfvo type="percentile" val="50"/>
        <cfvo type="max"/>
        <color rgb="FF63BE7B"/>
        <color rgb="FFFFEB84"/>
        <color rgb="FFF8696B"/>
      </colorScale>
    </cfRule>
  </conditionalFormatting>
  <pageMargins left="0.7" right="0.7" top="0.75" bottom="0.75" header="0.3" footer="0.3"/>
  <pageSetup scale="3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dataBar" id="{E820EE82-9E0F-A24A-AAF4-0AAE3B09BA35}">
            <x14:dataBar minLength="0" maxLength="100" border="1" negativeBarBorderColorSameAsPositive="0">
              <x14:cfvo type="autoMin"/>
              <x14:cfvo type="autoMax"/>
              <x14:borderColor rgb="FFFF555A"/>
              <x14:negativeFillColor rgb="FFFF0000"/>
              <x14:negativeBorderColor rgb="FFFF0000"/>
              <x14:axisColor rgb="FF000000"/>
            </x14:dataBar>
          </x14:cfRule>
          <xm:sqref>AQ2:AQ97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609D3-37E1-4F67-95CE-B436BA37D7B0}">
  <dimension ref="A1:F14"/>
  <sheetViews>
    <sheetView workbookViewId="0">
      <selection activeCell="G30" sqref="G30"/>
    </sheetView>
  </sheetViews>
  <sheetFormatPr defaultColWidth="8.85546875" defaultRowHeight="15" x14ac:dyDescent="0.25"/>
  <cols>
    <col min="1" max="1" width="27.28515625" style="1" customWidth="1"/>
    <col min="2" max="2" width="10.140625" style="4" bestFit="1" customWidth="1"/>
    <col min="3" max="3" width="12.42578125" style="5" customWidth="1"/>
    <col min="4" max="4" width="6.28515625" style="1" customWidth="1"/>
    <col min="5" max="5" width="22.7109375" style="1" customWidth="1"/>
    <col min="6" max="6" width="10.140625" style="4" bestFit="1" customWidth="1"/>
    <col min="7" max="7" width="13.42578125" style="1" customWidth="1"/>
    <col min="8" max="16384" width="8.85546875" style="1"/>
  </cols>
  <sheetData>
    <row r="1" spans="1:6" x14ac:dyDescent="0.25">
      <c r="A1" s="262" t="s">
        <v>233</v>
      </c>
      <c r="B1" s="263"/>
      <c r="C1" s="264"/>
      <c r="F1" s="1"/>
    </row>
    <row r="2" spans="1:6" x14ac:dyDescent="0.25">
      <c r="A2" s="19" t="s">
        <v>228</v>
      </c>
      <c r="B2" s="20"/>
      <c r="C2" s="21">
        <v>1000</v>
      </c>
      <c r="F2" s="1"/>
    </row>
    <row r="3" spans="1:6" x14ac:dyDescent="0.25">
      <c r="A3" s="19" t="s">
        <v>14</v>
      </c>
      <c r="B3" s="22">
        <v>1</v>
      </c>
      <c r="C3" s="21">
        <f>(B3-1)*2000</f>
        <v>0</v>
      </c>
      <c r="F3" s="1"/>
    </row>
    <row r="4" spans="1:6" x14ac:dyDescent="0.25">
      <c r="A4" s="19" t="s">
        <v>229</v>
      </c>
      <c r="B4" s="22">
        <v>2100</v>
      </c>
      <c r="C4" s="21">
        <f>B4*0.34</f>
        <v>714</v>
      </c>
      <c r="F4" s="1"/>
    </row>
    <row r="5" spans="1:6" x14ac:dyDescent="0.25">
      <c r="A5" s="19" t="s">
        <v>230</v>
      </c>
      <c r="B5" s="22">
        <v>678</v>
      </c>
      <c r="C5" s="21">
        <f>B5*0.89</f>
        <v>603.41999999999996</v>
      </c>
      <c r="F5" s="1"/>
    </row>
    <row r="6" spans="1:6" x14ac:dyDescent="0.25">
      <c r="A6" s="19" t="s">
        <v>231</v>
      </c>
      <c r="B6" s="22">
        <v>10307</v>
      </c>
      <c r="C6" s="21">
        <f>B6*0.07</f>
        <v>721.49000000000012</v>
      </c>
      <c r="F6" s="1"/>
    </row>
    <row r="7" spans="1:6" ht="15.75" thickBot="1" x14ac:dyDescent="0.3">
      <c r="A7" s="19" t="s">
        <v>232</v>
      </c>
      <c r="B7" s="22">
        <v>2685</v>
      </c>
      <c r="C7" s="21">
        <f>B7*0.06</f>
        <v>161.1</v>
      </c>
      <c r="F7" s="1"/>
    </row>
    <row r="8" spans="1:6" ht="15.75" thickBot="1" x14ac:dyDescent="0.3">
      <c r="A8" s="23" t="s">
        <v>360</v>
      </c>
      <c r="B8" s="20"/>
      <c r="C8" s="24">
        <f>SUM(C2:C7)</f>
        <v>3200.01</v>
      </c>
      <c r="F8" s="1"/>
    </row>
    <row r="9" spans="1:6" ht="30.75" thickBot="1" x14ac:dyDescent="0.3">
      <c r="A9" s="25" t="s">
        <v>358</v>
      </c>
      <c r="B9" s="26" t="s">
        <v>369</v>
      </c>
      <c r="C9" s="21">
        <f>IF(B9="YES", 0, (SUM(C2:C7)*0.1))</f>
        <v>0</v>
      </c>
      <c r="F9" s="1"/>
    </row>
    <row r="10" spans="1:6" ht="30.75" thickBot="1" x14ac:dyDescent="0.3">
      <c r="A10" s="27" t="s">
        <v>359</v>
      </c>
      <c r="B10" s="28"/>
      <c r="C10" s="24">
        <f>IF(SUM(C2:C7)&lt;3200,3200,(C9+SUM(C2:C7)))</f>
        <v>3200.01</v>
      </c>
      <c r="F10" s="1"/>
    </row>
    <row r="11" spans="1:6" x14ac:dyDescent="0.25">
      <c r="B11" s="1"/>
      <c r="C11" s="1"/>
      <c r="F11" s="1"/>
    </row>
    <row r="12" spans="1:6" x14ac:dyDescent="0.25">
      <c r="B12" s="1"/>
      <c r="C12" s="2"/>
      <c r="F12" s="1"/>
    </row>
    <row r="13" spans="1:6" x14ac:dyDescent="0.25">
      <c r="B13" s="1"/>
      <c r="C13" s="3"/>
      <c r="F13" s="1"/>
    </row>
    <row r="14" spans="1:6" x14ac:dyDescent="0.25">
      <c r="F14" s="1"/>
    </row>
  </sheetData>
  <mergeCells count="1">
    <mergeCell ref="A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06FB8-7DC7-4FF7-B083-5AF51C142F33}">
  <sheetPr>
    <pageSetUpPr fitToPage="1"/>
  </sheetPr>
  <dimension ref="A1:M145"/>
  <sheetViews>
    <sheetView workbookViewId="0">
      <pane ySplit="2" topLeftCell="A3" activePane="bottomLeft" state="frozen"/>
      <selection pane="bottomLeft" activeCell="Q7" sqref="Q7"/>
    </sheetView>
  </sheetViews>
  <sheetFormatPr defaultColWidth="9.140625" defaultRowHeight="25.5" customHeight="1" x14ac:dyDescent="0.25"/>
  <cols>
    <col min="1" max="1" width="48.42578125" style="6" customWidth="1"/>
    <col min="2" max="5" width="11.5703125" style="6" bestFit="1" customWidth="1"/>
    <col min="6" max="6" width="14" style="6" customWidth="1"/>
    <col min="7" max="7" width="13.28515625" style="6" customWidth="1"/>
    <col min="8" max="8" width="13.7109375" style="6" customWidth="1"/>
    <col min="9" max="9" width="13.5703125" style="6" customWidth="1"/>
    <col min="10" max="10" width="13.140625" style="6" bestFit="1" customWidth="1"/>
    <col min="11" max="11" width="13.5703125" style="6" customWidth="1"/>
    <col min="12" max="12" width="14.28515625" style="6" customWidth="1"/>
    <col min="13" max="13" width="13.7109375" style="6" customWidth="1"/>
    <col min="14" max="16384" width="9.140625" style="6"/>
  </cols>
  <sheetData>
    <row r="1" spans="1:13" ht="25.5" customHeight="1" x14ac:dyDescent="0.25">
      <c r="B1" s="265" t="s">
        <v>302</v>
      </c>
      <c r="C1" s="265"/>
      <c r="D1" s="265"/>
      <c r="E1" s="265"/>
      <c r="F1" s="267" t="s">
        <v>307</v>
      </c>
      <c r="G1" s="268"/>
      <c r="H1" s="268"/>
      <c r="I1" s="269"/>
      <c r="J1" s="266" t="s">
        <v>8</v>
      </c>
      <c r="K1" s="266"/>
      <c r="L1" s="266"/>
      <c r="M1" s="266"/>
    </row>
    <row r="2" spans="1:13" ht="30.75" customHeight="1" x14ac:dyDescent="0.25">
      <c r="A2" s="7" t="s">
        <v>234</v>
      </c>
      <c r="B2" s="8" t="s">
        <v>235</v>
      </c>
      <c r="C2" s="8" t="s">
        <v>236</v>
      </c>
      <c r="D2" s="8" t="s">
        <v>237</v>
      </c>
      <c r="E2" s="8" t="s">
        <v>301</v>
      </c>
      <c r="F2" s="9" t="s">
        <v>303</v>
      </c>
      <c r="G2" s="9" t="s">
        <v>304</v>
      </c>
      <c r="H2" s="9" t="s">
        <v>305</v>
      </c>
      <c r="I2" s="9" t="s">
        <v>306</v>
      </c>
      <c r="J2" s="10" t="s">
        <v>303</v>
      </c>
      <c r="K2" s="10" t="s">
        <v>304</v>
      </c>
      <c r="L2" s="10" t="s">
        <v>305</v>
      </c>
      <c r="M2" s="10" t="s">
        <v>306</v>
      </c>
    </row>
    <row r="3" spans="1:13" s="17" customFormat="1" ht="25.5" customHeight="1" x14ac:dyDescent="0.25">
      <c r="A3" s="11" t="s">
        <v>298</v>
      </c>
      <c r="B3" s="12">
        <f>311+294</f>
        <v>605</v>
      </c>
      <c r="C3" s="12">
        <f>251+311</f>
        <v>562</v>
      </c>
      <c r="D3" s="12">
        <f>223+379</f>
        <v>602</v>
      </c>
      <c r="E3" s="13">
        <f t="shared" ref="E3:E34" si="0">AVERAGE(B3,C3,D3)</f>
        <v>589.66666666666663</v>
      </c>
      <c r="F3" s="14">
        <v>22726</v>
      </c>
      <c r="G3" s="14">
        <v>22273</v>
      </c>
      <c r="H3" s="14">
        <v>18629</v>
      </c>
      <c r="I3" s="15">
        <f t="shared" ref="I3:I34" si="1">AVERAGE(F3:H3)</f>
        <v>21209.333333333332</v>
      </c>
      <c r="J3" s="16">
        <v>2755</v>
      </c>
      <c r="K3" s="16">
        <v>990</v>
      </c>
      <c r="L3" s="16">
        <v>3618</v>
      </c>
      <c r="M3" s="16">
        <f t="shared" ref="M3:M34" si="2">AVERAGE(J3:L3)</f>
        <v>2454.3333333333335</v>
      </c>
    </row>
    <row r="4" spans="1:13" s="17" customFormat="1" ht="25.5" customHeight="1" x14ac:dyDescent="0.25">
      <c r="A4" s="11" t="s">
        <v>238</v>
      </c>
      <c r="B4" s="12">
        <f>143+422</f>
        <v>565</v>
      </c>
      <c r="C4" s="12">
        <f>168+375</f>
        <v>543</v>
      </c>
      <c r="D4" s="12">
        <f>113+270</f>
        <v>383</v>
      </c>
      <c r="E4" s="13">
        <f t="shared" si="0"/>
        <v>497</v>
      </c>
      <c r="F4" s="14">
        <v>14223</v>
      </c>
      <c r="G4" s="14">
        <v>14616</v>
      </c>
      <c r="H4" s="14">
        <v>14535</v>
      </c>
      <c r="I4" s="15">
        <f t="shared" si="1"/>
        <v>14458</v>
      </c>
      <c r="J4" s="16">
        <v>464</v>
      </c>
      <c r="K4" s="16">
        <v>583</v>
      </c>
      <c r="L4" s="16">
        <v>639</v>
      </c>
      <c r="M4" s="16">
        <f t="shared" si="2"/>
        <v>562</v>
      </c>
    </row>
    <row r="5" spans="1:13" s="17" customFormat="1" ht="25.5" customHeight="1" x14ac:dyDescent="0.25">
      <c r="A5" s="11" t="s">
        <v>18</v>
      </c>
      <c r="B5" s="12">
        <v>7509</v>
      </c>
      <c r="C5" s="12">
        <v>8150</v>
      </c>
      <c r="D5" s="12">
        <v>6722</v>
      </c>
      <c r="E5" s="13">
        <f t="shared" si="0"/>
        <v>7460.333333333333</v>
      </c>
      <c r="F5" s="14">
        <v>94119</v>
      </c>
      <c r="G5" s="14">
        <v>93256</v>
      </c>
      <c r="H5" s="14">
        <v>93468</v>
      </c>
      <c r="I5" s="15">
        <f t="shared" si="1"/>
        <v>93614.333333333328</v>
      </c>
      <c r="J5" s="16">
        <v>102846</v>
      </c>
      <c r="K5" s="16">
        <v>109517</v>
      </c>
      <c r="L5" s="16">
        <v>114314</v>
      </c>
      <c r="M5" s="16">
        <f t="shared" si="2"/>
        <v>108892.33333333333</v>
      </c>
    </row>
    <row r="6" spans="1:13" s="17" customFormat="1" ht="25.5" customHeight="1" x14ac:dyDescent="0.25">
      <c r="A6" s="11" t="s">
        <v>299</v>
      </c>
      <c r="B6" s="12">
        <v>840</v>
      </c>
      <c r="C6" s="12">
        <v>533</v>
      </c>
      <c r="D6" s="12">
        <v>472</v>
      </c>
      <c r="E6" s="13">
        <f t="shared" si="0"/>
        <v>615</v>
      </c>
      <c r="F6" s="14">
        <v>20700</v>
      </c>
      <c r="G6" s="14">
        <v>20590</v>
      </c>
      <c r="H6" s="14">
        <v>19570</v>
      </c>
      <c r="I6" s="15">
        <f t="shared" si="1"/>
        <v>20286.666666666668</v>
      </c>
      <c r="J6" s="16">
        <v>17021</v>
      </c>
      <c r="K6" s="16">
        <v>25473</v>
      </c>
      <c r="L6" s="16">
        <v>23258</v>
      </c>
      <c r="M6" s="16">
        <f t="shared" si="2"/>
        <v>21917.333333333332</v>
      </c>
    </row>
    <row r="7" spans="1:13" s="17" customFormat="1" ht="25.5" customHeight="1" x14ac:dyDescent="0.25">
      <c r="A7" s="11" t="s">
        <v>239</v>
      </c>
      <c r="B7" s="12">
        <v>504</v>
      </c>
      <c r="C7" s="12">
        <v>509</v>
      </c>
      <c r="D7" s="12">
        <v>455</v>
      </c>
      <c r="E7" s="13">
        <f t="shared" si="0"/>
        <v>489.33333333333331</v>
      </c>
      <c r="F7" s="14">
        <v>10465</v>
      </c>
      <c r="G7" s="14">
        <v>9417</v>
      </c>
      <c r="H7" s="14">
        <v>9631</v>
      </c>
      <c r="I7" s="15">
        <f t="shared" si="1"/>
        <v>9837.6666666666661</v>
      </c>
      <c r="J7" s="16">
        <v>1501</v>
      </c>
      <c r="K7" s="16">
        <v>4359</v>
      </c>
      <c r="L7" s="16">
        <v>4923</v>
      </c>
      <c r="M7" s="16">
        <f t="shared" si="2"/>
        <v>3594.3333333333335</v>
      </c>
    </row>
    <row r="8" spans="1:13" s="17" customFormat="1" ht="25.5" customHeight="1" x14ac:dyDescent="0.25">
      <c r="A8" s="11" t="s">
        <v>20</v>
      </c>
      <c r="B8" s="12">
        <v>124</v>
      </c>
      <c r="C8" s="12">
        <v>186</v>
      </c>
      <c r="D8" s="12">
        <v>242</v>
      </c>
      <c r="E8" s="13">
        <f t="shared" si="0"/>
        <v>184</v>
      </c>
      <c r="F8" s="14">
        <v>14311</v>
      </c>
      <c r="G8" s="14">
        <v>14597</v>
      </c>
      <c r="H8" s="14">
        <v>15101</v>
      </c>
      <c r="I8" s="15">
        <f t="shared" si="1"/>
        <v>14669.666666666666</v>
      </c>
      <c r="J8" s="16">
        <v>279</v>
      </c>
      <c r="K8" s="16">
        <v>3731</v>
      </c>
      <c r="L8" s="16">
        <v>4456</v>
      </c>
      <c r="M8" s="16">
        <f t="shared" si="2"/>
        <v>2822</v>
      </c>
    </row>
    <row r="9" spans="1:13" s="17" customFormat="1" ht="25.5" customHeight="1" x14ac:dyDescent="0.25">
      <c r="A9" s="11" t="s">
        <v>22</v>
      </c>
      <c r="B9" s="12">
        <v>527</v>
      </c>
      <c r="C9" s="12">
        <v>397</v>
      </c>
      <c r="D9" s="12">
        <v>320</v>
      </c>
      <c r="E9" s="13">
        <f t="shared" si="0"/>
        <v>414.66666666666669</v>
      </c>
      <c r="F9" s="14">
        <v>26829</v>
      </c>
      <c r="G9" s="14">
        <v>27179</v>
      </c>
      <c r="H9" s="14">
        <v>27157</v>
      </c>
      <c r="I9" s="15">
        <f t="shared" si="1"/>
        <v>27055</v>
      </c>
      <c r="J9" s="16">
        <v>5841</v>
      </c>
      <c r="K9" s="16">
        <v>5215</v>
      </c>
      <c r="L9" s="16">
        <v>4512</v>
      </c>
      <c r="M9" s="16">
        <f t="shared" si="2"/>
        <v>5189.333333333333</v>
      </c>
    </row>
    <row r="10" spans="1:13" s="17" customFormat="1" ht="25.5" customHeight="1" x14ac:dyDescent="0.25">
      <c r="A10" s="11" t="s">
        <v>24</v>
      </c>
      <c r="B10" s="12">
        <v>785</v>
      </c>
      <c r="C10" s="12">
        <v>866</v>
      </c>
      <c r="D10" s="12">
        <v>564</v>
      </c>
      <c r="E10" s="13">
        <f t="shared" si="0"/>
        <v>738.33333333333337</v>
      </c>
      <c r="F10" s="14">
        <v>10816</v>
      </c>
      <c r="G10" s="14">
        <v>10957</v>
      </c>
      <c r="H10" s="14">
        <v>10864</v>
      </c>
      <c r="I10" s="15">
        <f t="shared" si="1"/>
        <v>10879</v>
      </c>
      <c r="J10" s="16">
        <v>3572</v>
      </c>
      <c r="K10" s="16">
        <v>3366</v>
      </c>
      <c r="L10" s="16">
        <v>3131</v>
      </c>
      <c r="M10" s="16">
        <f t="shared" si="2"/>
        <v>3356.3333333333335</v>
      </c>
    </row>
    <row r="11" spans="1:13" s="17" customFormat="1" ht="25.5" customHeight="1" x14ac:dyDescent="0.25">
      <c r="A11" s="11" t="s">
        <v>240</v>
      </c>
      <c r="B11" s="12">
        <v>881</v>
      </c>
      <c r="C11" s="12">
        <v>907</v>
      </c>
      <c r="D11" s="12">
        <v>692</v>
      </c>
      <c r="E11" s="13">
        <f t="shared" si="0"/>
        <v>826.66666666666663</v>
      </c>
      <c r="F11" s="14">
        <v>22486</v>
      </c>
      <c r="G11" s="14">
        <v>22904</v>
      </c>
      <c r="H11" s="14">
        <v>23146</v>
      </c>
      <c r="I11" s="15">
        <f t="shared" si="1"/>
        <v>22845.333333333332</v>
      </c>
      <c r="J11" s="16">
        <v>12903</v>
      </c>
      <c r="K11" s="16">
        <v>14493</v>
      </c>
      <c r="L11" s="16">
        <v>16161</v>
      </c>
      <c r="M11" s="16">
        <f t="shared" si="2"/>
        <v>14519</v>
      </c>
    </row>
    <row r="12" spans="1:13" s="17" customFormat="1" ht="25.5" customHeight="1" x14ac:dyDescent="0.25">
      <c r="A12" s="11" t="s">
        <v>241</v>
      </c>
      <c r="B12" s="12">
        <v>845</v>
      </c>
      <c r="C12" s="12">
        <f>1017+539</f>
        <v>1556</v>
      </c>
      <c r="D12" s="12">
        <f>632+1173</f>
        <v>1805</v>
      </c>
      <c r="E12" s="13">
        <f t="shared" si="0"/>
        <v>1402</v>
      </c>
      <c r="F12" s="14">
        <v>11983</v>
      </c>
      <c r="G12" s="14">
        <v>20129</v>
      </c>
      <c r="H12" s="14">
        <v>25159</v>
      </c>
      <c r="I12" s="15">
        <f t="shared" si="1"/>
        <v>19090.333333333332</v>
      </c>
      <c r="J12" s="16">
        <v>12918</v>
      </c>
      <c r="K12" s="16">
        <v>4780</v>
      </c>
      <c r="L12" s="16">
        <v>18415</v>
      </c>
      <c r="M12" s="16">
        <f t="shared" si="2"/>
        <v>12037.666666666666</v>
      </c>
    </row>
    <row r="13" spans="1:13" s="17" customFormat="1" ht="25.5" customHeight="1" x14ac:dyDescent="0.25">
      <c r="A13" s="11" t="s">
        <v>28</v>
      </c>
      <c r="B13" s="12">
        <v>2856</v>
      </c>
      <c r="C13" s="12">
        <v>3011</v>
      </c>
      <c r="D13" s="12">
        <v>1467</v>
      </c>
      <c r="E13" s="13">
        <f t="shared" si="0"/>
        <v>2444.6666666666665</v>
      </c>
      <c r="F13" s="14">
        <v>25797</v>
      </c>
      <c r="G13" s="14">
        <v>25662</v>
      </c>
      <c r="H13" s="14">
        <v>25583</v>
      </c>
      <c r="I13" s="15">
        <f t="shared" si="1"/>
        <v>25680.666666666668</v>
      </c>
      <c r="J13" s="16">
        <v>7058</v>
      </c>
      <c r="K13" s="16">
        <v>6952</v>
      </c>
      <c r="L13" s="16">
        <v>7262</v>
      </c>
      <c r="M13" s="16">
        <f t="shared" si="2"/>
        <v>7090.666666666667</v>
      </c>
    </row>
    <row r="14" spans="1:13" s="17" customFormat="1" ht="25.5" customHeight="1" x14ac:dyDescent="0.25">
      <c r="A14" s="11" t="s">
        <v>242</v>
      </c>
      <c r="B14" s="12">
        <v>1075</v>
      </c>
      <c r="C14" s="12">
        <v>1095</v>
      </c>
      <c r="D14" s="12">
        <v>1093</v>
      </c>
      <c r="E14" s="13">
        <f t="shared" si="0"/>
        <v>1087.6666666666667</v>
      </c>
      <c r="F14" s="14">
        <v>36118</v>
      </c>
      <c r="G14" s="14">
        <v>39528</v>
      </c>
      <c r="H14" s="14">
        <v>39623</v>
      </c>
      <c r="I14" s="15">
        <f t="shared" si="1"/>
        <v>38423</v>
      </c>
      <c r="J14" s="16">
        <v>9157</v>
      </c>
      <c r="K14" s="16">
        <v>9313</v>
      </c>
      <c r="L14" s="16">
        <v>9534</v>
      </c>
      <c r="M14" s="16">
        <f t="shared" si="2"/>
        <v>9334.6666666666661</v>
      </c>
    </row>
    <row r="15" spans="1:13" s="17" customFormat="1" ht="25.5" customHeight="1" x14ac:dyDescent="0.25">
      <c r="A15" s="11" t="s">
        <v>243</v>
      </c>
      <c r="B15" s="12">
        <v>843</v>
      </c>
      <c r="C15" s="12">
        <v>731</v>
      </c>
      <c r="D15" s="12">
        <v>677</v>
      </c>
      <c r="E15" s="13">
        <f t="shared" si="0"/>
        <v>750.33333333333337</v>
      </c>
      <c r="F15" s="14">
        <v>9101</v>
      </c>
      <c r="G15" s="14">
        <v>8725</v>
      </c>
      <c r="H15" s="14">
        <v>8748</v>
      </c>
      <c r="I15" s="15">
        <f t="shared" si="1"/>
        <v>8858</v>
      </c>
      <c r="J15" s="16">
        <v>829</v>
      </c>
      <c r="K15" s="16">
        <v>376</v>
      </c>
      <c r="L15" s="16">
        <v>427</v>
      </c>
      <c r="M15" s="16">
        <f t="shared" si="2"/>
        <v>544</v>
      </c>
    </row>
    <row r="16" spans="1:13" s="17" customFormat="1" ht="25.5" customHeight="1" x14ac:dyDescent="0.25">
      <c r="A16" s="11" t="s">
        <v>244</v>
      </c>
      <c r="B16" s="12">
        <v>281</v>
      </c>
      <c r="C16" s="12">
        <v>305</v>
      </c>
      <c r="D16" s="12">
        <v>335</v>
      </c>
      <c r="E16" s="13">
        <f t="shared" si="0"/>
        <v>307</v>
      </c>
      <c r="F16" s="14">
        <v>10676</v>
      </c>
      <c r="G16" s="14">
        <v>10555</v>
      </c>
      <c r="H16" s="14">
        <v>10190</v>
      </c>
      <c r="I16" s="15">
        <f t="shared" si="1"/>
        <v>10473.666666666666</v>
      </c>
      <c r="J16" s="16">
        <v>2355</v>
      </c>
      <c r="K16" s="16">
        <v>1460</v>
      </c>
      <c r="L16" s="16">
        <v>2469</v>
      </c>
      <c r="M16" s="16">
        <f t="shared" si="2"/>
        <v>2094.6666666666665</v>
      </c>
    </row>
    <row r="17" spans="1:13" s="17" customFormat="1" ht="25.5" customHeight="1" x14ac:dyDescent="0.25">
      <c r="A17" s="11" t="s">
        <v>32</v>
      </c>
      <c r="B17" s="12">
        <v>469</v>
      </c>
      <c r="C17" s="12">
        <v>485</v>
      </c>
      <c r="D17" s="12">
        <v>444</v>
      </c>
      <c r="E17" s="13">
        <f t="shared" si="0"/>
        <v>466</v>
      </c>
      <c r="F17" s="14">
        <v>17211</v>
      </c>
      <c r="G17" s="14">
        <v>16919</v>
      </c>
      <c r="H17" s="14">
        <v>17134</v>
      </c>
      <c r="I17" s="15">
        <f t="shared" si="1"/>
        <v>17088</v>
      </c>
      <c r="J17" s="16">
        <v>14386</v>
      </c>
      <c r="K17" s="16">
        <v>15998</v>
      </c>
      <c r="L17" s="16">
        <v>12367</v>
      </c>
      <c r="M17" s="16">
        <f t="shared" si="2"/>
        <v>14250.333333333334</v>
      </c>
    </row>
    <row r="18" spans="1:13" s="17" customFormat="1" ht="25.5" customHeight="1" x14ac:dyDescent="0.25">
      <c r="A18" s="11" t="s">
        <v>34</v>
      </c>
      <c r="B18" s="12">
        <v>1665</v>
      </c>
      <c r="C18" s="12">
        <v>1756</v>
      </c>
      <c r="D18" s="12">
        <v>1207</v>
      </c>
      <c r="E18" s="13">
        <f t="shared" si="0"/>
        <v>1542.6666666666667</v>
      </c>
      <c r="F18" s="14">
        <v>23131</v>
      </c>
      <c r="G18" s="14">
        <v>24304</v>
      </c>
      <c r="H18" s="14">
        <v>24207</v>
      </c>
      <c r="I18" s="15">
        <f t="shared" si="1"/>
        <v>23880.666666666668</v>
      </c>
      <c r="J18" s="16">
        <v>26812</v>
      </c>
      <c r="K18" s="16">
        <v>25592</v>
      </c>
      <c r="L18" s="16">
        <v>24339</v>
      </c>
      <c r="M18" s="16">
        <f t="shared" si="2"/>
        <v>25581</v>
      </c>
    </row>
    <row r="19" spans="1:13" s="17" customFormat="1" ht="25.5" customHeight="1" x14ac:dyDescent="0.25">
      <c r="A19" s="11" t="s">
        <v>245</v>
      </c>
      <c r="B19" s="12">
        <v>1325</v>
      </c>
      <c r="C19" s="12">
        <v>1405</v>
      </c>
      <c r="D19" s="12">
        <v>1533</v>
      </c>
      <c r="E19" s="13">
        <f t="shared" si="0"/>
        <v>1421</v>
      </c>
      <c r="F19" s="14">
        <v>26880</v>
      </c>
      <c r="G19" s="14">
        <v>26659</v>
      </c>
      <c r="H19" s="14">
        <v>25649</v>
      </c>
      <c r="I19" s="15">
        <f t="shared" si="1"/>
        <v>26396</v>
      </c>
      <c r="J19" s="16">
        <v>22187</v>
      </c>
      <c r="K19" s="16">
        <v>22383</v>
      </c>
      <c r="L19" s="16">
        <v>22891</v>
      </c>
      <c r="M19" s="16">
        <f t="shared" si="2"/>
        <v>22487</v>
      </c>
    </row>
    <row r="20" spans="1:13" s="17" customFormat="1" ht="25.5" customHeight="1" x14ac:dyDescent="0.25">
      <c r="A20" s="11" t="s">
        <v>38</v>
      </c>
      <c r="B20" s="12">
        <v>655</v>
      </c>
      <c r="C20" s="12">
        <v>731</v>
      </c>
      <c r="D20" s="12">
        <v>693</v>
      </c>
      <c r="E20" s="13">
        <f t="shared" si="0"/>
        <v>693</v>
      </c>
      <c r="F20" s="14">
        <v>21990</v>
      </c>
      <c r="G20" s="14">
        <v>21684</v>
      </c>
      <c r="H20" s="14">
        <v>21419</v>
      </c>
      <c r="I20" s="15">
        <f t="shared" si="1"/>
        <v>21697.666666666668</v>
      </c>
      <c r="J20" s="16">
        <v>5817</v>
      </c>
      <c r="K20" s="16">
        <v>6233</v>
      </c>
      <c r="L20" s="16">
        <v>7281</v>
      </c>
      <c r="M20" s="16">
        <f t="shared" si="2"/>
        <v>6443.666666666667</v>
      </c>
    </row>
    <row r="21" spans="1:13" s="17" customFormat="1" ht="25.5" customHeight="1" x14ac:dyDescent="0.25">
      <c r="A21" s="11" t="s">
        <v>40</v>
      </c>
      <c r="B21" s="12">
        <v>2</v>
      </c>
      <c r="C21" s="12">
        <v>2</v>
      </c>
      <c r="D21" s="12">
        <v>1</v>
      </c>
      <c r="E21" s="13">
        <f t="shared" si="0"/>
        <v>1.6666666666666667</v>
      </c>
      <c r="F21" s="14">
        <v>16792</v>
      </c>
      <c r="G21" s="14">
        <v>16880</v>
      </c>
      <c r="H21" s="14">
        <v>17172</v>
      </c>
      <c r="I21" s="15">
        <f t="shared" si="1"/>
        <v>16948</v>
      </c>
      <c r="J21" s="16">
        <v>0</v>
      </c>
      <c r="K21" s="16">
        <v>0</v>
      </c>
      <c r="L21" s="16">
        <v>0</v>
      </c>
      <c r="M21" s="16">
        <f t="shared" si="2"/>
        <v>0</v>
      </c>
    </row>
    <row r="22" spans="1:13" s="17" customFormat="1" ht="25.5" customHeight="1" x14ac:dyDescent="0.25">
      <c r="A22" s="11" t="s">
        <v>246</v>
      </c>
      <c r="B22" s="12">
        <f>238+294</f>
        <v>532</v>
      </c>
      <c r="C22" s="12">
        <f>228+313</f>
        <v>541</v>
      </c>
      <c r="D22" s="12">
        <f>224+348</f>
        <v>572</v>
      </c>
      <c r="E22" s="13">
        <f t="shared" si="0"/>
        <v>548.33333333333337</v>
      </c>
      <c r="F22" s="14">
        <v>19716</v>
      </c>
      <c r="G22" s="14">
        <v>20010</v>
      </c>
      <c r="H22" s="14">
        <v>20083</v>
      </c>
      <c r="I22" s="15">
        <f t="shared" si="1"/>
        <v>19936.333333333332</v>
      </c>
      <c r="J22" s="16">
        <v>4780</v>
      </c>
      <c r="K22" s="16">
        <v>8233</v>
      </c>
      <c r="L22" s="16">
        <v>7349</v>
      </c>
      <c r="M22" s="16">
        <f t="shared" si="2"/>
        <v>6787.333333333333</v>
      </c>
    </row>
    <row r="23" spans="1:13" s="17" customFormat="1" ht="25.5" customHeight="1" x14ac:dyDescent="0.25">
      <c r="A23" s="11" t="s">
        <v>247</v>
      </c>
      <c r="B23" s="12">
        <v>629</v>
      </c>
      <c r="C23" s="12">
        <v>741</v>
      </c>
      <c r="D23" s="12">
        <v>689</v>
      </c>
      <c r="E23" s="13">
        <f t="shared" si="0"/>
        <v>686.33333333333337</v>
      </c>
      <c r="F23" s="14">
        <v>31956</v>
      </c>
      <c r="G23" s="14">
        <v>34891</v>
      </c>
      <c r="H23" s="14">
        <v>35544</v>
      </c>
      <c r="I23" s="15">
        <f t="shared" si="1"/>
        <v>34130.333333333336</v>
      </c>
      <c r="J23" s="16">
        <v>10847</v>
      </c>
      <c r="K23" s="16">
        <v>10596</v>
      </c>
      <c r="L23" s="16">
        <v>14635</v>
      </c>
      <c r="M23" s="16">
        <f t="shared" si="2"/>
        <v>12026</v>
      </c>
    </row>
    <row r="24" spans="1:13" s="17" customFormat="1" ht="25.5" customHeight="1" x14ac:dyDescent="0.25">
      <c r="A24" s="11" t="s">
        <v>248</v>
      </c>
      <c r="B24" s="12">
        <v>563</v>
      </c>
      <c r="C24" s="12">
        <v>575</v>
      </c>
      <c r="D24" s="12">
        <v>627</v>
      </c>
      <c r="E24" s="13">
        <f t="shared" si="0"/>
        <v>588.33333333333337</v>
      </c>
      <c r="F24" s="14">
        <v>11781</v>
      </c>
      <c r="G24" s="14">
        <v>12048</v>
      </c>
      <c r="H24" s="14">
        <v>12216</v>
      </c>
      <c r="I24" s="15">
        <f t="shared" si="1"/>
        <v>12015</v>
      </c>
      <c r="J24" s="16">
        <v>5185</v>
      </c>
      <c r="K24" s="16">
        <v>8301</v>
      </c>
      <c r="L24" s="16">
        <v>10080</v>
      </c>
      <c r="M24" s="16">
        <f t="shared" si="2"/>
        <v>7855.333333333333</v>
      </c>
    </row>
    <row r="25" spans="1:13" s="17" customFormat="1" ht="25.5" customHeight="1" x14ac:dyDescent="0.25">
      <c r="A25" s="11" t="s">
        <v>249</v>
      </c>
      <c r="B25" s="12">
        <v>744</v>
      </c>
      <c r="C25" s="12">
        <v>748</v>
      </c>
      <c r="D25" s="12">
        <v>782</v>
      </c>
      <c r="E25" s="13">
        <f t="shared" si="0"/>
        <v>758</v>
      </c>
      <c r="F25" s="14">
        <v>6719</v>
      </c>
      <c r="G25" s="14">
        <v>6977</v>
      </c>
      <c r="H25" s="14">
        <v>6532</v>
      </c>
      <c r="I25" s="15">
        <f t="shared" si="1"/>
        <v>6742.666666666667</v>
      </c>
      <c r="J25" s="16">
        <v>2301</v>
      </c>
      <c r="K25" s="16">
        <v>5276</v>
      </c>
      <c r="L25" s="16">
        <v>6399</v>
      </c>
      <c r="M25" s="16">
        <f t="shared" si="2"/>
        <v>4658.666666666667</v>
      </c>
    </row>
    <row r="26" spans="1:13" s="17" customFormat="1" ht="25.5" customHeight="1" x14ac:dyDescent="0.25">
      <c r="A26" s="11" t="s">
        <v>43</v>
      </c>
      <c r="B26" s="12">
        <v>1153</v>
      </c>
      <c r="C26" s="12">
        <v>1182</v>
      </c>
      <c r="D26" s="12">
        <v>1060</v>
      </c>
      <c r="E26" s="13">
        <f t="shared" si="0"/>
        <v>1131.6666666666667</v>
      </c>
      <c r="F26" s="14">
        <v>25614</v>
      </c>
      <c r="G26" s="14">
        <v>25689</v>
      </c>
      <c r="H26" s="14">
        <v>26089</v>
      </c>
      <c r="I26" s="15">
        <f t="shared" si="1"/>
        <v>25797.333333333332</v>
      </c>
      <c r="J26" s="16">
        <v>13375</v>
      </c>
      <c r="K26" s="16">
        <v>13215</v>
      </c>
      <c r="L26" s="16">
        <v>15746</v>
      </c>
      <c r="M26" s="16">
        <f t="shared" si="2"/>
        <v>14112</v>
      </c>
    </row>
    <row r="27" spans="1:13" s="17" customFormat="1" ht="25.5" customHeight="1" x14ac:dyDescent="0.25">
      <c r="A27" s="11" t="s">
        <v>250</v>
      </c>
      <c r="B27" s="12">
        <v>1426</v>
      </c>
      <c r="C27" s="12">
        <v>1583</v>
      </c>
      <c r="D27" s="12">
        <v>1700</v>
      </c>
      <c r="E27" s="13">
        <f t="shared" si="0"/>
        <v>1569.6666666666667</v>
      </c>
      <c r="F27" s="14">
        <v>49243</v>
      </c>
      <c r="G27" s="14">
        <v>48290</v>
      </c>
      <c r="H27" s="14">
        <v>48864</v>
      </c>
      <c r="I27" s="15">
        <f t="shared" si="1"/>
        <v>48799</v>
      </c>
      <c r="J27" s="16">
        <v>40476</v>
      </c>
      <c r="K27" s="16">
        <v>32395</v>
      </c>
      <c r="L27" s="16">
        <v>32271</v>
      </c>
      <c r="M27" s="16">
        <f t="shared" si="2"/>
        <v>35047.333333333336</v>
      </c>
    </row>
    <row r="28" spans="1:13" s="17" customFormat="1" ht="25.5" customHeight="1" x14ac:dyDescent="0.25">
      <c r="A28" s="11" t="s">
        <v>251</v>
      </c>
      <c r="B28" s="12">
        <v>1076</v>
      </c>
      <c r="C28" s="12">
        <v>1132</v>
      </c>
      <c r="D28" s="12">
        <v>450</v>
      </c>
      <c r="E28" s="13">
        <f t="shared" si="0"/>
        <v>886</v>
      </c>
      <c r="F28" s="14">
        <v>20470</v>
      </c>
      <c r="G28" s="14">
        <v>20363</v>
      </c>
      <c r="H28" s="14">
        <v>20655</v>
      </c>
      <c r="I28" s="15">
        <f t="shared" si="1"/>
        <v>20496</v>
      </c>
      <c r="J28" s="16">
        <v>2109</v>
      </c>
      <c r="K28" s="16">
        <v>3040</v>
      </c>
      <c r="L28" s="16">
        <v>3357</v>
      </c>
      <c r="M28" s="16">
        <f t="shared" si="2"/>
        <v>2835.3333333333335</v>
      </c>
    </row>
    <row r="29" spans="1:13" s="17" customFormat="1" ht="25.5" customHeight="1" x14ac:dyDescent="0.25">
      <c r="A29" s="11" t="s">
        <v>252</v>
      </c>
      <c r="B29" s="12">
        <v>919</v>
      </c>
      <c r="C29" s="12">
        <v>968</v>
      </c>
      <c r="D29" s="12">
        <v>718</v>
      </c>
      <c r="E29" s="13">
        <f t="shared" si="0"/>
        <v>868.33333333333337</v>
      </c>
      <c r="F29" s="14">
        <v>15819</v>
      </c>
      <c r="G29" s="14">
        <v>16036</v>
      </c>
      <c r="H29" s="14">
        <v>16529</v>
      </c>
      <c r="I29" s="15">
        <f t="shared" si="1"/>
        <v>16128</v>
      </c>
      <c r="J29" s="16">
        <v>4375</v>
      </c>
      <c r="K29" s="16">
        <v>4054</v>
      </c>
      <c r="L29" s="16">
        <v>5719</v>
      </c>
      <c r="M29" s="16">
        <f t="shared" si="2"/>
        <v>4716</v>
      </c>
    </row>
    <row r="30" spans="1:13" s="17" customFormat="1" ht="25.5" customHeight="1" x14ac:dyDescent="0.25">
      <c r="A30" s="11" t="s">
        <v>51</v>
      </c>
      <c r="B30" s="12">
        <v>4057</v>
      </c>
      <c r="C30" s="12">
        <v>3900</v>
      </c>
      <c r="D30" s="12">
        <v>3457</v>
      </c>
      <c r="E30" s="13">
        <f t="shared" si="0"/>
        <v>3804.6666666666665</v>
      </c>
      <c r="F30" s="14">
        <v>35860</v>
      </c>
      <c r="G30" s="14">
        <v>36218</v>
      </c>
      <c r="H30" s="14">
        <v>34487</v>
      </c>
      <c r="I30" s="15">
        <f t="shared" si="1"/>
        <v>35521.666666666664</v>
      </c>
      <c r="J30" s="16">
        <v>39580</v>
      </c>
      <c r="K30" s="16">
        <v>45031</v>
      </c>
      <c r="L30" s="16">
        <v>51629</v>
      </c>
      <c r="M30" s="16">
        <f t="shared" si="2"/>
        <v>45413.333333333336</v>
      </c>
    </row>
    <row r="31" spans="1:13" s="17" customFormat="1" ht="25.5" customHeight="1" x14ac:dyDescent="0.25">
      <c r="A31" s="11" t="s">
        <v>53</v>
      </c>
      <c r="B31" s="12">
        <v>436</v>
      </c>
      <c r="C31" s="12">
        <v>464</v>
      </c>
      <c r="D31" s="12">
        <v>480</v>
      </c>
      <c r="E31" s="13">
        <f t="shared" si="0"/>
        <v>460</v>
      </c>
      <c r="F31" s="14">
        <v>9303</v>
      </c>
      <c r="G31" s="14">
        <v>9492</v>
      </c>
      <c r="H31" s="14">
        <v>9719</v>
      </c>
      <c r="I31" s="15">
        <f t="shared" si="1"/>
        <v>9504.6666666666661</v>
      </c>
      <c r="J31" s="16">
        <v>2919</v>
      </c>
      <c r="K31" s="16">
        <v>2420</v>
      </c>
      <c r="L31" s="16">
        <v>2633</v>
      </c>
      <c r="M31" s="16">
        <f t="shared" si="2"/>
        <v>2657.3333333333335</v>
      </c>
    </row>
    <row r="32" spans="1:13" s="17" customFormat="1" ht="25.5" customHeight="1" x14ac:dyDescent="0.25">
      <c r="A32" s="11" t="s">
        <v>253</v>
      </c>
      <c r="B32" s="12">
        <v>1003</v>
      </c>
      <c r="C32" s="12">
        <v>1031</v>
      </c>
      <c r="D32" s="12">
        <v>1083</v>
      </c>
      <c r="E32" s="13">
        <f t="shared" si="0"/>
        <v>1039</v>
      </c>
      <c r="F32" s="14">
        <v>25436</v>
      </c>
      <c r="G32" s="14">
        <v>25668</v>
      </c>
      <c r="H32" s="14">
        <v>25635</v>
      </c>
      <c r="I32" s="15">
        <f t="shared" si="1"/>
        <v>25579.666666666668</v>
      </c>
      <c r="J32" s="16">
        <v>7949</v>
      </c>
      <c r="K32" s="16">
        <v>8572</v>
      </c>
      <c r="L32" s="16">
        <v>9188</v>
      </c>
      <c r="M32" s="16">
        <f t="shared" si="2"/>
        <v>8569.6666666666661</v>
      </c>
    </row>
    <row r="33" spans="1:13" s="17" customFormat="1" ht="25.5" customHeight="1" x14ac:dyDescent="0.25">
      <c r="A33" s="11" t="s">
        <v>57</v>
      </c>
      <c r="B33" s="12">
        <v>378</v>
      </c>
      <c r="C33" s="12">
        <v>380</v>
      </c>
      <c r="D33" s="12">
        <v>387</v>
      </c>
      <c r="E33" s="13">
        <f t="shared" si="0"/>
        <v>381.66666666666669</v>
      </c>
      <c r="F33" s="14">
        <v>13036</v>
      </c>
      <c r="G33" s="14">
        <v>13450</v>
      </c>
      <c r="H33" s="14">
        <v>13369</v>
      </c>
      <c r="I33" s="15">
        <f t="shared" si="1"/>
        <v>13285</v>
      </c>
      <c r="J33" s="16">
        <v>4440</v>
      </c>
      <c r="K33" s="16">
        <v>3810</v>
      </c>
      <c r="L33" s="16">
        <v>4393</v>
      </c>
      <c r="M33" s="16">
        <f t="shared" si="2"/>
        <v>4214.333333333333</v>
      </c>
    </row>
    <row r="34" spans="1:13" s="17" customFormat="1" ht="25.5" customHeight="1" x14ac:dyDescent="0.25">
      <c r="A34" s="11" t="s">
        <v>59</v>
      </c>
      <c r="B34" s="12">
        <v>2238</v>
      </c>
      <c r="C34" s="12">
        <v>1886</v>
      </c>
      <c r="D34" s="12">
        <v>1860</v>
      </c>
      <c r="E34" s="13">
        <f t="shared" si="0"/>
        <v>1994.6666666666667</v>
      </c>
      <c r="F34" s="14">
        <v>24422</v>
      </c>
      <c r="G34" s="14">
        <v>22259</v>
      </c>
      <c r="H34" s="14">
        <v>21897</v>
      </c>
      <c r="I34" s="15">
        <f t="shared" si="1"/>
        <v>22859.333333333332</v>
      </c>
      <c r="J34" s="16">
        <v>12553</v>
      </c>
      <c r="K34" s="16">
        <v>15452</v>
      </c>
      <c r="L34" s="16">
        <v>14283</v>
      </c>
      <c r="M34" s="16">
        <f t="shared" si="2"/>
        <v>14096</v>
      </c>
    </row>
    <row r="35" spans="1:13" s="17" customFormat="1" ht="25.5" customHeight="1" x14ac:dyDescent="0.25">
      <c r="A35" s="11" t="s">
        <v>61</v>
      </c>
      <c r="B35" s="12">
        <v>548</v>
      </c>
      <c r="C35" s="12">
        <v>547</v>
      </c>
      <c r="D35" s="12">
        <v>528</v>
      </c>
      <c r="E35" s="13">
        <f t="shared" ref="E35:E66" si="3">AVERAGE(B35,C35,D35)</f>
        <v>541</v>
      </c>
      <c r="F35" s="14">
        <v>22521</v>
      </c>
      <c r="G35" s="14">
        <v>20947</v>
      </c>
      <c r="H35" s="14">
        <v>19957</v>
      </c>
      <c r="I35" s="15">
        <f t="shared" ref="I35:I66" si="4">AVERAGE(F35:H35)</f>
        <v>21141.666666666668</v>
      </c>
      <c r="J35" s="16">
        <v>12799</v>
      </c>
      <c r="K35" s="16">
        <v>13384</v>
      </c>
      <c r="L35" s="16">
        <v>12299</v>
      </c>
      <c r="M35" s="16">
        <f t="shared" ref="M35:M66" si="5">AVERAGE(J35:L35)</f>
        <v>12827.333333333334</v>
      </c>
    </row>
    <row r="36" spans="1:13" s="17" customFormat="1" ht="25.5" customHeight="1" x14ac:dyDescent="0.25">
      <c r="A36" s="11" t="s">
        <v>254</v>
      </c>
      <c r="B36" s="12">
        <v>1950</v>
      </c>
      <c r="C36" s="12">
        <v>2019</v>
      </c>
      <c r="D36" s="12">
        <v>2255</v>
      </c>
      <c r="E36" s="13">
        <f t="shared" si="3"/>
        <v>2074.6666666666665</v>
      </c>
      <c r="F36" s="14">
        <v>20381</v>
      </c>
      <c r="G36" s="14">
        <v>21074</v>
      </c>
      <c r="H36" s="14">
        <v>21714</v>
      </c>
      <c r="I36" s="15">
        <f t="shared" si="4"/>
        <v>21056.333333333332</v>
      </c>
      <c r="J36" s="16">
        <v>5391</v>
      </c>
      <c r="K36" s="16">
        <v>12004</v>
      </c>
      <c r="L36" s="16">
        <v>10331</v>
      </c>
      <c r="M36" s="16">
        <f t="shared" si="5"/>
        <v>9242</v>
      </c>
    </row>
    <row r="37" spans="1:13" s="17" customFormat="1" ht="25.5" customHeight="1" x14ac:dyDescent="0.25">
      <c r="A37" s="11" t="s">
        <v>63</v>
      </c>
      <c r="B37" s="12">
        <v>415</v>
      </c>
      <c r="C37" s="12">
        <v>460</v>
      </c>
      <c r="D37" s="12">
        <v>418</v>
      </c>
      <c r="E37" s="13">
        <f t="shared" si="3"/>
        <v>431</v>
      </c>
      <c r="F37" s="14">
        <v>13267</v>
      </c>
      <c r="G37" s="14">
        <v>13416</v>
      </c>
      <c r="H37" s="14">
        <v>13629</v>
      </c>
      <c r="I37" s="15">
        <f t="shared" si="4"/>
        <v>13437.333333333334</v>
      </c>
      <c r="J37" s="16">
        <v>3548</v>
      </c>
      <c r="K37" s="16">
        <v>5745</v>
      </c>
      <c r="L37" s="16">
        <v>7287</v>
      </c>
      <c r="M37" s="16">
        <f t="shared" si="5"/>
        <v>5526.666666666667</v>
      </c>
    </row>
    <row r="38" spans="1:13" s="17" customFormat="1" ht="25.5" customHeight="1" x14ac:dyDescent="0.25">
      <c r="A38" s="11" t="s">
        <v>255</v>
      </c>
      <c r="B38" s="12">
        <v>492</v>
      </c>
      <c r="C38" s="12">
        <v>448</v>
      </c>
      <c r="D38" s="12">
        <v>430</v>
      </c>
      <c r="E38" s="13">
        <f t="shared" si="3"/>
        <v>456.66666666666669</v>
      </c>
      <c r="F38" s="14">
        <v>12991</v>
      </c>
      <c r="G38" s="14">
        <v>12761</v>
      </c>
      <c r="H38" s="14">
        <v>12647</v>
      </c>
      <c r="I38" s="15">
        <f t="shared" si="4"/>
        <v>12799.666666666666</v>
      </c>
      <c r="J38" s="16">
        <v>4736</v>
      </c>
      <c r="K38" s="16">
        <v>6407</v>
      </c>
      <c r="L38" s="16">
        <v>5870</v>
      </c>
      <c r="M38" s="16">
        <f t="shared" si="5"/>
        <v>5671</v>
      </c>
    </row>
    <row r="39" spans="1:13" s="17" customFormat="1" ht="25.5" customHeight="1" x14ac:dyDescent="0.25">
      <c r="A39" s="11" t="s">
        <v>65</v>
      </c>
      <c r="B39" s="12">
        <v>1142</v>
      </c>
      <c r="C39" s="12">
        <v>1132</v>
      </c>
      <c r="D39" s="12">
        <v>1307</v>
      </c>
      <c r="E39" s="13">
        <f t="shared" si="3"/>
        <v>1193.6666666666667</v>
      </c>
      <c r="F39" s="14">
        <v>19980</v>
      </c>
      <c r="G39" s="14">
        <v>20260</v>
      </c>
      <c r="H39" s="14">
        <v>20170</v>
      </c>
      <c r="I39" s="15">
        <f t="shared" si="4"/>
        <v>20136.666666666668</v>
      </c>
      <c r="J39" s="16">
        <v>35640</v>
      </c>
      <c r="K39" s="16">
        <v>39366</v>
      </c>
      <c r="L39" s="16">
        <v>38390</v>
      </c>
      <c r="M39" s="16">
        <f t="shared" si="5"/>
        <v>37798.666666666664</v>
      </c>
    </row>
    <row r="40" spans="1:13" s="17" customFormat="1" ht="25.5" customHeight="1" x14ac:dyDescent="0.25">
      <c r="A40" s="11" t="s">
        <v>67</v>
      </c>
      <c r="B40" s="12">
        <v>2749</v>
      </c>
      <c r="C40" s="12">
        <v>2977</v>
      </c>
      <c r="D40" s="12">
        <v>3169</v>
      </c>
      <c r="E40" s="13">
        <f t="shared" si="3"/>
        <v>2965</v>
      </c>
      <c r="F40" s="14">
        <v>41601</v>
      </c>
      <c r="G40" s="14">
        <v>42343</v>
      </c>
      <c r="H40" s="14">
        <v>42962</v>
      </c>
      <c r="I40" s="15">
        <f t="shared" si="4"/>
        <v>42302</v>
      </c>
      <c r="J40" s="16">
        <v>91168</v>
      </c>
      <c r="K40" s="16">
        <v>89047</v>
      </c>
      <c r="L40" s="16">
        <v>81324</v>
      </c>
      <c r="M40" s="16">
        <f t="shared" si="5"/>
        <v>87179.666666666672</v>
      </c>
    </row>
    <row r="41" spans="1:13" s="17" customFormat="1" ht="25.5" customHeight="1" x14ac:dyDescent="0.25">
      <c r="A41" s="11" t="s">
        <v>256</v>
      </c>
      <c r="B41" s="12">
        <v>1591</v>
      </c>
      <c r="C41" s="12">
        <v>1867</v>
      </c>
      <c r="D41" s="12">
        <v>1275</v>
      </c>
      <c r="E41" s="13">
        <f t="shared" si="3"/>
        <v>1577.6666666666667</v>
      </c>
      <c r="F41" s="14">
        <v>10498</v>
      </c>
      <c r="G41" s="14">
        <v>10113</v>
      </c>
      <c r="H41" s="14">
        <v>10715</v>
      </c>
      <c r="I41" s="15">
        <f t="shared" si="4"/>
        <v>10442</v>
      </c>
      <c r="J41" s="16">
        <v>2441</v>
      </c>
      <c r="K41" s="16">
        <v>7370</v>
      </c>
      <c r="L41" s="16">
        <v>8694</v>
      </c>
      <c r="M41" s="16">
        <f t="shared" si="5"/>
        <v>6168.333333333333</v>
      </c>
    </row>
    <row r="42" spans="1:13" s="17" customFormat="1" ht="25.5" customHeight="1" x14ac:dyDescent="0.25">
      <c r="A42" s="11" t="s">
        <v>69</v>
      </c>
      <c r="B42" s="12">
        <v>1564</v>
      </c>
      <c r="C42" s="12">
        <v>1649</v>
      </c>
      <c r="D42" s="12">
        <v>1419</v>
      </c>
      <c r="E42" s="13">
        <f t="shared" si="3"/>
        <v>1544</v>
      </c>
      <c r="F42" s="14">
        <v>15133</v>
      </c>
      <c r="G42" s="14">
        <v>15233</v>
      </c>
      <c r="H42" s="14">
        <v>15557</v>
      </c>
      <c r="I42" s="15">
        <f t="shared" si="4"/>
        <v>15307.666666666666</v>
      </c>
      <c r="J42" s="16">
        <v>13397</v>
      </c>
      <c r="K42" s="16">
        <v>15814</v>
      </c>
      <c r="L42" s="16">
        <v>17626</v>
      </c>
      <c r="M42" s="16">
        <f t="shared" si="5"/>
        <v>15612.333333333334</v>
      </c>
    </row>
    <row r="43" spans="1:13" s="17" customFormat="1" ht="25.5" customHeight="1" x14ac:dyDescent="0.25">
      <c r="A43" s="11" t="s">
        <v>257</v>
      </c>
      <c r="B43" s="12">
        <v>1722</v>
      </c>
      <c r="C43" s="12">
        <v>1655</v>
      </c>
      <c r="D43" s="12">
        <v>1786</v>
      </c>
      <c r="E43" s="13">
        <f t="shared" si="3"/>
        <v>1721</v>
      </c>
      <c r="F43" s="14">
        <v>38151</v>
      </c>
      <c r="G43" s="14">
        <v>38656</v>
      </c>
      <c r="H43" s="14">
        <v>37396</v>
      </c>
      <c r="I43" s="15">
        <f t="shared" si="4"/>
        <v>38067.666666666664</v>
      </c>
      <c r="J43" s="16">
        <v>31491</v>
      </c>
      <c r="K43" s="16">
        <v>33543</v>
      </c>
      <c r="L43" s="16">
        <v>36060</v>
      </c>
      <c r="M43" s="16">
        <f t="shared" si="5"/>
        <v>33698</v>
      </c>
    </row>
    <row r="44" spans="1:13" s="17" customFormat="1" ht="25.5" customHeight="1" x14ac:dyDescent="0.25">
      <c r="A44" s="11" t="s">
        <v>258</v>
      </c>
      <c r="B44" s="12">
        <v>1421</v>
      </c>
      <c r="C44" s="12">
        <v>1586</v>
      </c>
      <c r="D44" s="12">
        <v>1758</v>
      </c>
      <c r="E44" s="13">
        <f t="shared" si="3"/>
        <v>1588.3333333333333</v>
      </c>
      <c r="F44" s="14">
        <v>17804</v>
      </c>
      <c r="G44" s="14">
        <v>17071</v>
      </c>
      <c r="H44" s="14">
        <v>17299</v>
      </c>
      <c r="I44" s="15">
        <f t="shared" si="4"/>
        <v>17391.333333333332</v>
      </c>
      <c r="J44" s="16">
        <v>8215</v>
      </c>
      <c r="K44" s="16">
        <v>12134</v>
      </c>
      <c r="L44" s="16">
        <v>9971</v>
      </c>
      <c r="M44" s="16">
        <f t="shared" si="5"/>
        <v>10106.666666666666</v>
      </c>
    </row>
    <row r="45" spans="1:13" s="17" customFormat="1" ht="25.5" customHeight="1" x14ac:dyDescent="0.25">
      <c r="A45" s="11" t="s">
        <v>73</v>
      </c>
      <c r="B45" s="12">
        <v>3159</v>
      </c>
      <c r="C45" s="12">
        <v>3282</v>
      </c>
      <c r="D45" s="12">
        <v>3401</v>
      </c>
      <c r="E45" s="13">
        <f t="shared" si="3"/>
        <v>3280.6666666666665</v>
      </c>
      <c r="F45" s="14">
        <v>45030</v>
      </c>
      <c r="G45" s="14">
        <v>46547</v>
      </c>
      <c r="H45" s="14">
        <v>47820</v>
      </c>
      <c r="I45" s="15">
        <f t="shared" si="4"/>
        <v>46465.666666666664</v>
      </c>
      <c r="J45" s="16">
        <v>115399</v>
      </c>
      <c r="K45" s="16">
        <v>131712</v>
      </c>
      <c r="L45" s="16">
        <v>144762</v>
      </c>
      <c r="M45" s="16">
        <f t="shared" si="5"/>
        <v>130624.33333333333</v>
      </c>
    </row>
    <row r="46" spans="1:13" s="17" customFormat="1" ht="25.5" customHeight="1" x14ac:dyDescent="0.25">
      <c r="A46" s="11" t="s">
        <v>75</v>
      </c>
      <c r="B46" s="12">
        <v>1</v>
      </c>
      <c r="C46" s="12">
        <v>2</v>
      </c>
      <c r="D46" s="12">
        <v>43</v>
      </c>
      <c r="E46" s="13">
        <f t="shared" si="3"/>
        <v>15.333333333333334</v>
      </c>
      <c r="F46" s="14">
        <v>12584</v>
      </c>
      <c r="G46" s="14">
        <v>13082</v>
      </c>
      <c r="H46" s="14">
        <v>13029</v>
      </c>
      <c r="I46" s="15">
        <f t="shared" si="4"/>
        <v>12898.333333333334</v>
      </c>
      <c r="J46" s="16">
        <v>0</v>
      </c>
      <c r="K46" s="16">
        <v>0</v>
      </c>
      <c r="L46" s="16">
        <v>0</v>
      </c>
      <c r="M46" s="16">
        <f t="shared" si="5"/>
        <v>0</v>
      </c>
    </row>
    <row r="47" spans="1:13" s="17" customFormat="1" ht="25.5" customHeight="1" x14ac:dyDescent="0.25">
      <c r="A47" s="11" t="s">
        <v>259</v>
      </c>
      <c r="B47" s="12">
        <v>2506</v>
      </c>
      <c r="C47" s="12">
        <v>2709</v>
      </c>
      <c r="D47" s="12">
        <v>2166</v>
      </c>
      <c r="E47" s="13">
        <f t="shared" si="3"/>
        <v>2460.3333333333335</v>
      </c>
      <c r="F47" s="14">
        <v>33814</v>
      </c>
      <c r="G47" s="14">
        <v>33431</v>
      </c>
      <c r="H47" s="14">
        <v>33987</v>
      </c>
      <c r="I47" s="15">
        <f t="shared" si="4"/>
        <v>33744</v>
      </c>
      <c r="J47" s="16">
        <v>23081</v>
      </c>
      <c r="K47" s="16">
        <v>28909</v>
      </c>
      <c r="L47" s="16">
        <v>27059</v>
      </c>
      <c r="M47" s="16">
        <f t="shared" si="5"/>
        <v>26349.666666666668</v>
      </c>
    </row>
    <row r="48" spans="1:13" s="17" customFormat="1" ht="25.5" customHeight="1" x14ac:dyDescent="0.25">
      <c r="A48" s="11" t="s">
        <v>79</v>
      </c>
      <c r="B48" s="12">
        <v>1</v>
      </c>
      <c r="C48" s="12">
        <v>1</v>
      </c>
      <c r="D48" s="12">
        <v>1</v>
      </c>
      <c r="E48" s="13">
        <f t="shared" si="3"/>
        <v>1</v>
      </c>
      <c r="F48" s="14">
        <v>6480</v>
      </c>
      <c r="G48" s="14">
        <v>6480</v>
      </c>
      <c r="H48" s="14">
        <v>6480</v>
      </c>
      <c r="I48" s="15">
        <f t="shared" si="4"/>
        <v>6480</v>
      </c>
      <c r="J48" s="16">
        <v>0</v>
      </c>
      <c r="K48" s="16">
        <v>0</v>
      </c>
      <c r="L48" s="16">
        <v>0</v>
      </c>
      <c r="M48" s="16">
        <f t="shared" si="5"/>
        <v>0</v>
      </c>
    </row>
    <row r="49" spans="1:13" s="17" customFormat="1" ht="25.5" customHeight="1" x14ac:dyDescent="0.25">
      <c r="A49" s="11" t="s">
        <v>80</v>
      </c>
      <c r="B49" s="12">
        <v>1666</v>
      </c>
      <c r="C49" s="12">
        <v>1581</v>
      </c>
      <c r="D49" s="12">
        <v>1601</v>
      </c>
      <c r="E49" s="13">
        <f t="shared" si="3"/>
        <v>1616</v>
      </c>
      <c r="F49" s="14">
        <v>31517</v>
      </c>
      <c r="G49" s="14">
        <v>30890</v>
      </c>
      <c r="H49" s="14">
        <v>30899</v>
      </c>
      <c r="I49" s="15">
        <f t="shared" si="4"/>
        <v>31102</v>
      </c>
      <c r="J49" s="16">
        <v>7936</v>
      </c>
      <c r="K49" s="16">
        <v>8263</v>
      </c>
      <c r="L49" s="16">
        <v>8587</v>
      </c>
      <c r="M49" s="16">
        <f t="shared" si="5"/>
        <v>8262</v>
      </c>
    </row>
    <row r="50" spans="1:13" s="17" customFormat="1" ht="25.5" customHeight="1" x14ac:dyDescent="0.25">
      <c r="A50" s="11" t="s">
        <v>82</v>
      </c>
      <c r="B50" s="12">
        <v>348</v>
      </c>
      <c r="C50" s="12">
        <v>435</v>
      </c>
      <c r="D50" s="12">
        <v>514</v>
      </c>
      <c r="E50" s="13">
        <f t="shared" si="3"/>
        <v>432.33333333333331</v>
      </c>
      <c r="F50" s="14">
        <v>16565</v>
      </c>
      <c r="G50" s="14">
        <v>16481</v>
      </c>
      <c r="H50" s="14">
        <v>16638</v>
      </c>
      <c r="I50" s="15">
        <f t="shared" si="4"/>
        <v>16561.333333333332</v>
      </c>
      <c r="J50" s="16">
        <v>6250</v>
      </c>
      <c r="K50" s="16">
        <v>5484</v>
      </c>
      <c r="L50" s="16">
        <v>6226</v>
      </c>
      <c r="M50" s="16">
        <f t="shared" si="5"/>
        <v>5986.666666666667</v>
      </c>
    </row>
    <row r="51" spans="1:13" s="17" customFormat="1" ht="25.5" customHeight="1" x14ac:dyDescent="0.25">
      <c r="A51" s="11" t="s">
        <v>260</v>
      </c>
      <c r="B51" s="12">
        <v>450</v>
      </c>
      <c r="C51" s="12">
        <v>430</v>
      </c>
      <c r="D51" s="12">
        <v>434</v>
      </c>
      <c r="E51" s="13">
        <f t="shared" si="3"/>
        <v>438</v>
      </c>
      <c r="F51" s="14">
        <v>13368</v>
      </c>
      <c r="G51" s="14">
        <v>12534</v>
      </c>
      <c r="H51" s="14">
        <v>12737</v>
      </c>
      <c r="I51" s="15">
        <f t="shared" si="4"/>
        <v>12879.666666666666</v>
      </c>
      <c r="J51" s="16">
        <v>387</v>
      </c>
      <c r="K51" s="16">
        <v>1930</v>
      </c>
      <c r="L51" s="16">
        <v>2905</v>
      </c>
      <c r="M51" s="16">
        <f t="shared" si="5"/>
        <v>1740.6666666666667</v>
      </c>
    </row>
    <row r="52" spans="1:13" s="17" customFormat="1" ht="25.5" customHeight="1" x14ac:dyDescent="0.25">
      <c r="A52" s="11" t="s">
        <v>84</v>
      </c>
      <c r="B52" s="12">
        <v>8938</v>
      </c>
      <c r="C52" s="12">
        <v>6657</v>
      </c>
      <c r="D52" s="12">
        <v>7218</v>
      </c>
      <c r="E52" s="13">
        <f t="shared" si="3"/>
        <v>7604.333333333333</v>
      </c>
      <c r="F52" s="14">
        <v>107892</v>
      </c>
      <c r="G52" s="14">
        <v>105398</v>
      </c>
      <c r="H52" s="14">
        <v>106034</v>
      </c>
      <c r="I52" s="15">
        <f t="shared" si="4"/>
        <v>106441.33333333333</v>
      </c>
      <c r="J52" s="16">
        <v>111225</v>
      </c>
      <c r="K52" s="16">
        <v>138046</v>
      </c>
      <c r="L52" s="16">
        <v>145688</v>
      </c>
      <c r="M52" s="16">
        <f t="shared" si="5"/>
        <v>131653</v>
      </c>
    </row>
    <row r="53" spans="1:13" s="17" customFormat="1" ht="25.5" customHeight="1" x14ac:dyDescent="0.25">
      <c r="A53" s="11" t="s">
        <v>261</v>
      </c>
      <c r="B53" s="12">
        <v>3029</v>
      </c>
      <c r="C53" s="12">
        <v>3108</v>
      </c>
      <c r="D53" s="12">
        <v>3152</v>
      </c>
      <c r="E53" s="13">
        <f t="shared" si="3"/>
        <v>3096.3333333333335</v>
      </c>
      <c r="F53" s="14">
        <v>37493</v>
      </c>
      <c r="G53" s="14">
        <v>39307</v>
      </c>
      <c r="H53" s="14">
        <v>40317</v>
      </c>
      <c r="I53" s="15">
        <f t="shared" si="4"/>
        <v>39039</v>
      </c>
      <c r="J53" s="16">
        <v>14235</v>
      </c>
      <c r="K53" s="16">
        <v>15182</v>
      </c>
      <c r="L53" s="16">
        <v>18866</v>
      </c>
      <c r="M53" s="16">
        <f t="shared" si="5"/>
        <v>16094.333333333334</v>
      </c>
    </row>
    <row r="54" spans="1:13" s="17" customFormat="1" ht="25.5" customHeight="1" x14ac:dyDescent="0.25">
      <c r="A54" s="11" t="s">
        <v>88</v>
      </c>
      <c r="B54" s="12">
        <v>1087</v>
      </c>
      <c r="C54" s="12">
        <v>733</v>
      </c>
      <c r="D54" s="12">
        <v>805</v>
      </c>
      <c r="E54" s="13">
        <f t="shared" si="3"/>
        <v>875</v>
      </c>
      <c r="F54" s="14">
        <v>21261</v>
      </c>
      <c r="G54" s="14">
        <v>20926</v>
      </c>
      <c r="H54" s="14">
        <v>20369</v>
      </c>
      <c r="I54" s="15">
        <f t="shared" si="4"/>
        <v>20852</v>
      </c>
      <c r="J54" s="16">
        <v>18311</v>
      </c>
      <c r="K54" s="16">
        <v>17777</v>
      </c>
      <c r="L54" s="16">
        <v>19572</v>
      </c>
      <c r="M54" s="16">
        <f t="shared" si="5"/>
        <v>18553.333333333332</v>
      </c>
    </row>
    <row r="55" spans="1:13" s="17" customFormat="1" ht="25.5" customHeight="1" x14ac:dyDescent="0.25">
      <c r="A55" s="11" t="s">
        <v>90</v>
      </c>
      <c r="B55" s="12">
        <v>1974</v>
      </c>
      <c r="C55" s="12">
        <v>2102</v>
      </c>
      <c r="D55" s="12">
        <v>1430</v>
      </c>
      <c r="E55" s="13">
        <f t="shared" si="3"/>
        <v>1835.3333333333333</v>
      </c>
      <c r="F55" s="14">
        <v>19096</v>
      </c>
      <c r="G55" s="14">
        <v>19259</v>
      </c>
      <c r="H55" s="14">
        <v>19795</v>
      </c>
      <c r="I55" s="15">
        <f t="shared" si="4"/>
        <v>19383.333333333332</v>
      </c>
      <c r="J55" s="16">
        <v>9025</v>
      </c>
      <c r="K55" s="16">
        <v>7339</v>
      </c>
      <c r="L55" s="16">
        <v>9410</v>
      </c>
      <c r="M55" s="16">
        <f t="shared" si="5"/>
        <v>8591.3333333333339</v>
      </c>
    </row>
    <row r="56" spans="1:13" s="17" customFormat="1" ht="25.5" customHeight="1" x14ac:dyDescent="0.25">
      <c r="A56" s="11" t="s">
        <v>262</v>
      </c>
      <c r="B56" s="12">
        <v>502</v>
      </c>
      <c r="C56" s="12">
        <v>527</v>
      </c>
      <c r="D56" s="12">
        <v>579</v>
      </c>
      <c r="E56" s="13">
        <f t="shared" si="3"/>
        <v>536</v>
      </c>
      <c r="F56" s="14">
        <v>15624</v>
      </c>
      <c r="G56" s="14">
        <v>15822</v>
      </c>
      <c r="H56" s="14">
        <v>14539</v>
      </c>
      <c r="I56" s="15">
        <f t="shared" si="4"/>
        <v>15328.333333333334</v>
      </c>
      <c r="J56" s="16">
        <v>1353</v>
      </c>
      <c r="K56" s="16">
        <v>6358</v>
      </c>
      <c r="L56" s="16">
        <v>3898</v>
      </c>
      <c r="M56" s="16">
        <f t="shared" si="5"/>
        <v>3869.6666666666665</v>
      </c>
    </row>
    <row r="57" spans="1:13" s="17" customFormat="1" ht="25.5" customHeight="1" x14ac:dyDescent="0.25">
      <c r="A57" s="11" t="s">
        <v>92</v>
      </c>
      <c r="B57" s="12">
        <v>11778</v>
      </c>
      <c r="C57" s="12">
        <v>12610</v>
      </c>
      <c r="D57" s="12">
        <v>12817</v>
      </c>
      <c r="E57" s="13">
        <f t="shared" si="3"/>
        <v>12401.666666666666</v>
      </c>
      <c r="F57" s="14">
        <v>141594</v>
      </c>
      <c r="G57" s="14">
        <v>136282</v>
      </c>
      <c r="H57" s="14">
        <v>135194</v>
      </c>
      <c r="I57" s="15">
        <f t="shared" si="4"/>
        <v>137690</v>
      </c>
      <c r="J57" s="16">
        <v>105324</v>
      </c>
      <c r="K57" s="16">
        <v>152071</v>
      </c>
      <c r="L57" s="16">
        <v>151667</v>
      </c>
      <c r="M57" s="16">
        <f t="shared" si="5"/>
        <v>136354</v>
      </c>
    </row>
    <row r="58" spans="1:13" s="17" customFormat="1" ht="25.5" customHeight="1" x14ac:dyDescent="0.25">
      <c r="A58" s="11" t="s">
        <v>263</v>
      </c>
      <c r="B58" s="12">
        <v>626</v>
      </c>
      <c r="C58" s="12">
        <v>610</v>
      </c>
      <c r="D58" s="12">
        <v>645</v>
      </c>
      <c r="E58" s="13">
        <f t="shared" si="3"/>
        <v>627</v>
      </c>
      <c r="F58" s="14">
        <v>7930</v>
      </c>
      <c r="G58" s="14">
        <v>8251</v>
      </c>
      <c r="H58" s="14">
        <v>8287</v>
      </c>
      <c r="I58" s="15">
        <f t="shared" si="4"/>
        <v>8156</v>
      </c>
      <c r="J58" s="16">
        <v>149</v>
      </c>
      <c r="K58" s="16">
        <v>609</v>
      </c>
      <c r="L58" s="16">
        <v>6944</v>
      </c>
      <c r="M58" s="16">
        <f t="shared" si="5"/>
        <v>2567.3333333333335</v>
      </c>
    </row>
    <row r="59" spans="1:13" s="17" customFormat="1" ht="25.5" customHeight="1" x14ac:dyDescent="0.25">
      <c r="A59" s="11" t="s">
        <v>94</v>
      </c>
      <c r="B59" s="12">
        <v>1145</v>
      </c>
      <c r="C59" s="12">
        <v>1123</v>
      </c>
      <c r="D59" s="12">
        <v>1037</v>
      </c>
      <c r="E59" s="13">
        <f t="shared" si="3"/>
        <v>1101.6666666666667</v>
      </c>
      <c r="F59" s="14">
        <v>25144</v>
      </c>
      <c r="G59" s="14">
        <v>24879</v>
      </c>
      <c r="H59" s="14">
        <v>25810</v>
      </c>
      <c r="I59" s="15">
        <f t="shared" si="4"/>
        <v>25277.666666666668</v>
      </c>
      <c r="J59" s="16">
        <v>22518</v>
      </c>
      <c r="K59" s="16">
        <v>21877</v>
      </c>
      <c r="L59" s="16">
        <v>19293</v>
      </c>
      <c r="M59" s="16">
        <f t="shared" si="5"/>
        <v>21229.333333333332</v>
      </c>
    </row>
    <row r="60" spans="1:13" s="17" customFormat="1" ht="25.5" customHeight="1" x14ac:dyDescent="0.25">
      <c r="A60" s="11" t="s">
        <v>264</v>
      </c>
      <c r="B60" s="12">
        <v>443</v>
      </c>
      <c r="C60" s="12">
        <v>440</v>
      </c>
      <c r="D60" s="12">
        <v>197</v>
      </c>
      <c r="E60" s="13">
        <f t="shared" si="3"/>
        <v>360</v>
      </c>
      <c r="F60" s="14">
        <v>5793</v>
      </c>
      <c r="G60" s="14">
        <v>4226</v>
      </c>
      <c r="H60" s="14">
        <v>4068</v>
      </c>
      <c r="I60" s="15">
        <f t="shared" si="4"/>
        <v>4695.666666666667</v>
      </c>
      <c r="J60" s="16">
        <v>1694</v>
      </c>
      <c r="K60" s="16">
        <v>1756</v>
      </c>
      <c r="L60" s="16">
        <v>745</v>
      </c>
      <c r="M60" s="16">
        <f t="shared" si="5"/>
        <v>1398.3333333333333</v>
      </c>
    </row>
    <row r="61" spans="1:13" s="17" customFormat="1" ht="25.5" customHeight="1" x14ac:dyDescent="0.25">
      <c r="A61" s="11" t="s">
        <v>265</v>
      </c>
      <c r="B61" s="12">
        <v>2172</v>
      </c>
      <c r="C61" s="12">
        <v>2191</v>
      </c>
      <c r="D61" s="12">
        <v>1867</v>
      </c>
      <c r="E61" s="13">
        <f t="shared" si="3"/>
        <v>2076.6666666666665</v>
      </c>
      <c r="F61" s="14">
        <v>64265</v>
      </c>
      <c r="G61" s="14">
        <v>65060</v>
      </c>
      <c r="H61" s="14">
        <v>66263</v>
      </c>
      <c r="I61" s="15">
        <f t="shared" si="4"/>
        <v>65196</v>
      </c>
      <c r="J61" s="16">
        <v>11533</v>
      </c>
      <c r="K61" s="16">
        <v>10505</v>
      </c>
      <c r="L61" s="16">
        <v>11064</v>
      </c>
      <c r="M61" s="16">
        <f t="shared" si="5"/>
        <v>11034</v>
      </c>
    </row>
    <row r="62" spans="1:13" s="17" customFormat="1" ht="25.5" customHeight="1" x14ac:dyDescent="0.25">
      <c r="A62" s="11" t="s">
        <v>98</v>
      </c>
      <c r="B62" s="12">
        <v>392</v>
      </c>
      <c r="C62" s="12">
        <v>423</v>
      </c>
      <c r="D62" s="12">
        <v>454</v>
      </c>
      <c r="E62" s="13">
        <f t="shared" si="3"/>
        <v>423</v>
      </c>
      <c r="F62" s="14">
        <v>12578</v>
      </c>
      <c r="G62" s="14">
        <v>12684</v>
      </c>
      <c r="H62" s="14">
        <v>12987</v>
      </c>
      <c r="I62" s="15">
        <f t="shared" si="4"/>
        <v>12749.666666666666</v>
      </c>
      <c r="J62" s="16">
        <v>2110</v>
      </c>
      <c r="K62" s="16">
        <v>2336</v>
      </c>
      <c r="L62" s="16">
        <v>2948</v>
      </c>
      <c r="M62" s="16">
        <f t="shared" si="5"/>
        <v>2464.6666666666665</v>
      </c>
    </row>
    <row r="63" spans="1:13" s="17" customFormat="1" ht="25.5" customHeight="1" x14ac:dyDescent="0.25">
      <c r="A63" s="11" t="s">
        <v>100</v>
      </c>
      <c r="B63" s="12">
        <v>1119</v>
      </c>
      <c r="C63" s="12">
        <v>979</v>
      </c>
      <c r="D63" s="12">
        <v>1006</v>
      </c>
      <c r="E63" s="13">
        <f t="shared" si="3"/>
        <v>1034.6666666666667</v>
      </c>
      <c r="F63" s="14">
        <v>22092</v>
      </c>
      <c r="G63" s="14">
        <v>22339</v>
      </c>
      <c r="H63" s="14">
        <v>21550</v>
      </c>
      <c r="I63" s="15">
        <f t="shared" si="4"/>
        <v>21993.666666666668</v>
      </c>
      <c r="J63" s="16">
        <v>27026</v>
      </c>
      <c r="K63" s="16">
        <v>25790</v>
      </c>
      <c r="L63" s="16">
        <v>23266</v>
      </c>
      <c r="M63" s="16">
        <f t="shared" si="5"/>
        <v>25360.666666666668</v>
      </c>
    </row>
    <row r="64" spans="1:13" s="17" customFormat="1" ht="25.5" customHeight="1" x14ac:dyDescent="0.25">
      <c r="A64" s="11" t="s">
        <v>266</v>
      </c>
      <c r="B64" s="12">
        <v>952</v>
      </c>
      <c r="C64" s="12">
        <v>930</v>
      </c>
      <c r="D64" s="12">
        <v>716</v>
      </c>
      <c r="E64" s="13">
        <f t="shared" si="3"/>
        <v>866</v>
      </c>
      <c r="F64" s="14">
        <v>14307</v>
      </c>
      <c r="G64" s="14">
        <v>14254</v>
      </c>
      <c r="H64" s="14">
        <v>13998</v>
      </c>
      <c r="I64" s="15">
        <f t="shared" si="4"/>
        <v>14186.333333333334</v>
      </c>
      <c r="J64" s="16">
        <v>12322</v>
      </c>
      <c r="K64" s="16">
        <v>17393</v>
      </c>
      <c r="L64" s="16">
        <v>16611</v>
      </c>
      <c r="M64" s="16">
        <f t="shared" si="5"/>
        <v>15442</v>
      </c>
    </row>
    <row r="65" spans="1:13" s="17" customFormat="1" ht="25.5" customHeight="1" x14ac:dyDescent="0.25">
      <c r="A65" s="11" t="s">
        <v>104</v>
      </c>
      <c r="B65" s="12">
        <v>756</v>
      </c>
      <c r="C65" s="12">
        <v>752</v>
      </c>
      <c r="D65" s="12">
        <v>748</v>
      </c>
      <c r="E65" s="13">
        <f t="shared" si="3"/>
        <v>752</v>
      </c>
      <c r="F65" s="14">
        <v>14949</v>
      </c>
      <c r="G65" s="14">
        <v>12362</v>
      </c>
      <c r="H65" s="14">
        <v>11338</v>
      </c>
      <c r="I65" s="15">
        <f t="shared" si="4"/>
        <v>12883</v>
      </c>
      <c r="J65" s="16">
        <v>2197</v>
      </c>
      <c r="K65" s="16">
        <v>4308</v>
      </c>
      <c r="L65" s="16">
        <v>1837</v>
      </c>
      <c r="M65" s="16">
        <f t="shared" si="5"/>
        <v>2780.6666666666665</v>
      </c>
    </row>
    <row r="66" spans="1:13" s="17" customFormat="1" ht="25.5" customHeight="1" x14ac:dyDescent="0.25">
      <c r="A66" s="11" t="s">
        <v>105</v>
      </c>
      <c r="B66" s="12">
        <v>1716</v>
      </c>
      <c r="C66" s="12">
        <v>1844</v>
      </c>
      <c r="D66" s="12">
        <v>1871</v>
      </c>
      <c r="E66" s="13">
        <f t="shared" si="3"/>
        <v>1810.3333333333333</v>
      </c>
      <c r="F66" s="14">
        <v>28048</v>
      </c>
      <c r="G66" s="14">
        <v>27909</v>
      </c>
      <c r="H66" s="14">
        <v>28758</v>
      </c>
      <c r="I66" s="15">
        <f t="shared" si="4"/>
        <v>28238.333333333332</v>
      </c>
      <c r="J66" s="16">
        <v>14644</v>
      </c>
      <c r="K66" s="16">
        <v>15961</v>
      </c>
      <c r="L66" s="16">
        <v>15947</v>
      </c>
      <c r="M66" s="16">
        <f t="shared" si="5"/>
        <v>15517.333333333334</v>
      </c>
    </row>
    <row r="67" spans="1:13" s="17" customFormat="1" ht="25.5" customHeight="1" x14ac:dyDescent="0.25">
      <c r="A67" s="11" t="s">
        <v>107</v>
      </c>
      <c r="B67" s="12">
        <v>1668</v>
      </c>
      <c r="C67" s="12">
        <v>1633</v>
      </c>
      <c r="D67" s="12">
        <v>1641</v>
      </c>
      <c r="E67" s="13">
        <f t="shared" ref="E67:E98" si="6">AVERAGE(B67,C67,D67)</f>
        <v>1647.3333333333333</v>
      </c>
      <c r="F67" s="14">
        <v>52749</v>
      </c>
      <c r="G67" s="14">
        <v>53313</v>
      </c>
      <c r="H67" s="14">
        <v>46908</v>
      </c>
      <c r="I67" s="15">
        <f t="shared" ref="I67:I98" si="7">AVERAGE(F67:H67)</f>
        <v>50990</v>
      </c>
      <c r="J67" s="16">
        <v>39883</v>
      </c>
      <c r="K67" s="16">
        <v>41573</v>
      </c>
      <c r="L67" s="16">
        <v>46606</v>
      </c>
      <c r="M67" s="16">
        <f t="shared" ref="M67:M98" si="8">AVERAGE(J67:L67)</f>
        <v>42687.333333333336</v>
      </c>
    </row>
    <row r="68" spans="1:13" s="17" customFormat="1" ht="25.5" customHeight="1" x14ac:dyDescent="0.25">
      <c r="A68" s="11" t="s">
        <v>109</v>
      </c>
      <c r="B68" s="12">
        <v>1286</v>
      </c>
      <c r="C68" s="12">
        <v>1328</v>
      </c>
      <c r="D68" s="12">
        <v>1377</v>
      </c>
      <c r="E68" s="13">
        <f t="shared" si="6"/>
        <v>1330.3333333333333</v>
      </c>
      <c r="F68" s="14">
        <v>26770</v>
      </c>
      <c r="G68" s="14">
        <v>26990</v>
      </c>
      <c r="H68" s="14">
        <v>26900</v>
      </c>
      <c r="I68" s="15">
        <f t="shared" si="7"/>
        <v>26886.666666666668</v>
      </c>
      <c r="J68" s="16">
        <v>8752</v>
      </c>
      <c r="K68" s="16">
        <v>9119</v>
      </c>
      <c r="L68" s="16">
        <v>9626</v>
      </c>
      <c r="M68" s="16">
        <f t="shared" si="8"/>
        <v>9165.6666666666661</v>
      </c>
    </row>
    <row r="69" spans="1:13" s="17" customFormat="1" ht="25.5" customHeight="1" x14ac:dyDescent="0.25">
      <c r="A69" s="11" t="s">
        <v>267</v>
      </c>
      <c r="B69" s="12">
        <v>278</v>
      </c>
      <c r="C69" s="12">
        <v>278</v>
      </c>
      <c r="D69" s="12">
        <v>277</v>
      </c>
      <c r="E69" s="13">
        <f t="shared" si="6"/>
        <v>277.66666666666669</v>
      </c>
      <c r="F69" s="14">
        <v>6791</v>
      </c>
      <c r="G69" s="14">
        <v>6791</v>
      </c>
      <c r="H69" s="14">
        <v>7594</v>
      </c>
      <c r="I69" s="15">
        <f t="shared" si="7"/>
        <v>7058.666666666667</v>
      </c>
      <c r="J69" s="16">
        <v>0</v>
      </c>
      <c r="K69" s="16">
        <v>0</v>
      </c>
      <c r="L69" s="16">
        <v>0</v>
      </c>
      <c r="M69" s="16">
        <f t="shared" si="8"/>
        <v>0</v>
      </c>
    </row>
    <row r="70" spans="1:13" s="17" customFormat="1" ht="25.5" customHeight="1" x14ac:dyDescent="0.25">
      <c r="A70" s="11" t="s">
        <v>111</v>
      </c>
      <c r="B70" s="12">
        <v>1191</v>
      </c>
      <c r="C70" s="12">
        <v>1298</v>
      </c>
      <c r="D70" s="12">
        <v>1322</v>
      </c>
      <c r="E70" s="13">
        <f t="shared" si="6"/>
        <v>1270.3333333333333</v>
      </c>
      <c r="F70" s="14">
        <v>15414</v>
      </c>
      <c r="G70" s="14">
        <v>15899</v>
      </c>
      <c r="H70" s="14">
        <v>16367</v>
      </c>
      <c r="I70" s="15">
        <f t="shared" si="7"/>
        <v>15893.333333333334</v>
      </c>
      <c r="J70" s="16">
        <v>20255</v>
      </c>
      <c r="K70" s="16">
        <v>16380</v>
      </c>
      <c r="L70" s="16">
        <v>20879</v>
      </c>
      <c r="M70" s="16">
        <f t="shared" si="8"/>
        <v>19171.333333333332</v>
      </c>
    </row>
    <row r="71" spans="1:13" s="17" customFormat="1" ht="25.5" customHeight="1" x14ac:dyDescent="0.25">
      <c r="A71" s="11" t="s">
        <v>112</v>
      </c>
      <c r="B71" s="12">
        <v>1980</v>
      </c>
      <c r="C71" s="12">
        <v>1653</v>
      </c>
      <c r="D71" s="12">
        <v>1492</v>
      </c>
      <c r="E71" s="13">
        <f t="shared" si="6"/>
        <v>1708.3333333333333</v>
      </c>
      <c r="F71" s="14">
        <v>29453</v>
      </c>
      <c r="G71" s="14">
        <v>28674</v>
      </c>
      <c r="H71" s="14">
        <v>27918</v>
      </c>
      <c r="I71" s="15">
        <f t="shared" si="7"/>
        <v>28681.666666666668</v>
      </c>
      <c r="J71" s="16">
        <v>16395</v>
      </c>
      <c r="K71" s="16">
        <v>28513</v>
      </c>
      <c r="L71" s="16">
        <v>29751</v>
      </c>
      <c r="M71" s="16">
        <f t="shared" si="8"/>
        <v>24886.333333333332</v>
      </c>
    </row>
    <row r="72" spans="1:13" s="17" customFormat="1" ht="25.5" customHeight="1" x14ac:dyDescent="0.25">
      <c r="A72" s="11" t="s">
        <v>114</v>
      </c>
      <c r="B72" s="12">
        <v>1822</v>
      </c>
      <c r="C72" s="12">
        <v>1525</v>
      </c>
      <c r="D72" s="12">
        <v>1343</v>
      </c>
      <c r="E72" s="13">
        <f t="shared" si="6"/>
        <v>1563.3333333333333</v>
      </c>
      <c r="F72" s="14">
        <v>23502</v>
      </c>
      <c r="G72" s="14">
        <v>24568</v>
      </c>
      <c r="H72" s="14">
        <v>22779</v>
      </c>
      <c r="I72" s="15">
        <f t="shared" si="7"/>
        <v>23616.333333333332</v>
      </c>
      <c r="J72" s="16">
        <v>32273</v>
      </c>
      <c r="K72" s="16">
        <v>28038</v>
      </c>
      <c r="L72" s="16">
        <v>27173</v>
      </c>
      <c r="M72" s="16">
        <f t="shared" si="8"/>
        <v>29161.333333333332</v>
      </c>
    </row>
    <row r="73" spans="1:13" s="17" customFormat="1" ht="25.5" customHeight="1" x14ac:dyDescent="0.25">
      <c r="A73" s="11" t="s">
        <v>268</v>
      </c>
      <c r="B73" s="12">
        <f>1218+105</f>
        <v>1323</v>
      </c>
      <c r="C73" s="12">
        <f>120+1306</f>
        <v>1426</v>
      </c>
      <c r="D73" s="12">
        <f>120+1325</f>
        <v>1445</v>
      </c>
      <c r="E73" s="13">
        <f t="shared" si="6"/>
        <v>1398</v>
      </c>
      <c r="F73" s="14">
        <v>16613</v>
      </c>
      <c r="G73" s="14">
        <v>16429</v>
      </c>
      <c r="H73" s="14">
        <v>15981</v>
      </c>
      <c r="I73" s="15">
        <f t="shared" si="7"/>
        <v>16341</v>
      </c>
      <c r="J73" s="16">
        <v>12918</v>
      </c>
      <c r="K73" s="16">
        <v>15756</v>
      </c>
      <c r="L73" s="16">
        <v>3120</v>
      </c>
      <c r="M73" s="16">
        <f t="shared" si="8"/>
        <v>10598</v>
      </c>
    </row>
    <row r="74" spans="1:13" s="17" customFormat="1" ht="25.5" customHeight="1" x14ac:dyDescent="0.25">
      <c r="A74" s="11" t="s">
        <v>269</v>
      </c>
      <c r="B74" s="12">
        <v>6602</v>
      </c>
      <c r="C74" s="12">
        <v>6985</v>
      </c>
      <c r="D74" s="12">
        <v>6396</v>
      </c>
      <c r="E74" s="13">
        <f t="shared" si="6"/>
        <v>6661</v>
      </c>
      <c r="F74" s="14">
        <v>99266</v>
      </c>
      <c r="G74" s="14">
        <v>95025</v>
      </c>
      <c r="H74" s="14">
        <v>83417</v>
      </c>
      <c r="I74" s="15">
        <f t="shared" si="7"/>
        <v>92569.333333333328</v>
      </c>
      <c r="J74" s="16">
        <v>105739</v>
      </c>
      <c r="K74" s="16">
        <v>100234</v>
      </c>
      <c r="L74" s="16">
        <v>113560</v>
      </c>
      <c r="M74" s="16">
        <f t="shared" si="8"/>
        <v>106511</v>
      </c>
    </row>
    <row r="75" spans="1:13" s="17" customFormat="1" ht="25.5" customHeight="1" x14ac:dyDescent="0.25">
      <c r="A75" s="11" t="s">
        <v>270</v>
      </c>
      <c r="B75" s="12">
        <v>255</v>
      </c>
      <c r="C75" s="12">
        <v>143</v>
      </c>
      <c r="D75" s="12">
        <v>158</v>
      </c>
      <c r="E75" s="13">
        <f t="shared" si="6"/>
        <v>185.33333333333334</v>
      </c>
      <c r="F75" s="14">
        <v>16642</v>
      </c>
      <c r="G75" s="14">
        <v>17514</v>
      </c>
      <c r="H75" s="14">
        <v>18574</v>
      </c>
      <c r="I75" s="15">
        <f t="shared" si="7"/>
        <v>17576.666666666668</v>
      </c>
      <c r="J75" s="16">
        <v>3785</v>
      </c>
      <c r="K75" s="16">
        <v>5441</v>
      </c>
      <c r="L75" s="16">
        <v>7179</v>
      </c>
      <c r="M75" s="16">
        <f t="shared" si="8"/>
        <v>5468.333333333333</v>
      </c>
    </row>
    <row r="76" spans="1:13" s="17" customFormat="1" ht="25.5" customHeight="1" x14ac:dyDescent="0.25">
      <c r="A76" s="11" t="s">
        <v>271</v>
      </c>
      <c r="B76" s="12">
        <v>2361</v>
      </c>
      <c r="C76" s="12">
        <v>2339</v>
      </c>
      <c r="D76" s="12">
        <v>2317</v>
      </c>
      <c r="E76" s="13">
        <f t="shared" si="6"/>
        <v>2339</v>
      </c>
      <c r="F76" s="14">
        <v>38156</v>
      </c>
      <c r="G76" s="14">
        <v>37148</v>
      </c>
      <c r="H76" s="14">
        <v>34542</v>
      </c>
      <c r="I76" s="15">
        <f t="shared" si="7"/>
        <v>36615.333333333336</v>
      </c>
      <c r="J76" s="16">
        <v>17149</v>
      </c>
      <c r="K76" s="16">
        <v>21621</v>
      </c>
      <c r="L76" s="16">
        <v>25390</v>
      </c>
      <c r="M76" s="16">
        <f t="shared" si="8"/>
        <v>21386.666666666668</v>
      </c>
    </row>
    <row r="77" spans="1:13" s="17" customFormat="1" ht="25.5" customHeight="1" x14ac:dyDescent="0.25">
      <c r="A77" s="11" t="s">
        <v>118</v>
      </c>
      <c r="B77" s="12">
        <v>6683</v>
      </c>
      <c r="C77" s="12">
        <v>6957</v>
      </c>
      <c r="D77" s="12">
        <v>7439</v>
      </c>
      <c r="E77" s="13">
        <f t="shared" si="6"/>
        <v>7026.333333333333</v>
      </c>
      <c r="F77" s="14">
        <v>93114</v>
      </c>
      <c r="G77" s="14">
        <v>91790</v>
      </c>
      <c r="H77" s="14">
        <v>92976</v>
      </c>
      <c r="I77" s="15">
        <f t="shared" si="7"/>
        <v>92626.666666666672</v>
      </c>
      <c r="J77" s="16">
        <v>75462</v>
      </c>
      <c r="K77" s="16">
        <v>72410</v>
      </c>
      <c r="L77" s="16">
        <v>74751</v>
      </c>
      <c r="M77" s="16">
        <f t="shared" si="8"/>
        <v>74207.666666666672</v>
      </c>
    </row>
    <row r="78" spans="1:13" s="17" customFormat="1" ht="25.5" customHeight="1" x14ac:dyDescent="0.25">
      <c r="A78" s="11" t="s">
        <v>120</v>
      </c>
      <c r="B78" s="12">
        <v>850</v>
      </c>
      <c r="C78" s="12">
        <v>673</v>
      </c>
      <c r="D78" s="12">
        <v>600</v>
      </c>
      <c r="E78" s="13">
        <f t="shared" si="6"/>
        <v>707.66666666666663</v>
      </c>
      <c r="F78" s="14">
        <v>26469</v>
      </c>
      <c r="G78" s="14">
        <v>26884</v>
      </c>
      <c r="H78" s="14">
        <v>26835</v>
      </c>
      <c r="I78" s="15">
        <f t="shared" si="7"/>
        <v>26729.333333333332</v>
      </c>
      <c r="J78" s="16">
        <v>7149</v>
      </c>
      <c r="K78" s="16">
        <v>6856</v>
      </c>
      <c r="L78" s="16">
        <v>8451</v>
      </c>
      <c r="M78" s="16">
        <f t="shared" si="8"/>
        <v>7485.333333333333</v>
      </c>
    </row>
    <row r="79" spans="1:13" s="17" customFormat="1" ht="25.5" customHeight="1" x14ac:dyDescent="0.25">
      <c r="A79" s="11" t="s">
        <v>272</v>
      </c>
      <c r="B79" s="12">
        <v>1028</v>
      </c>
      <c r="C79" s="12">
        <v>1202</v>
      </c>
      <c r="D79" s="12">
        <v>1399</v>
      </c>
      <c r="E79" s="13">
        <f t="shared" si="6"/>
        <v>1209.6666666666667</v>
      </c>
      <c r="F79" s="14">
        <v>3752</v>
      </c>
      <c r="G79" s="14">
        <v>3917</v>
      </c>
      <c r="H79" s="14">
        <v>4168</v>
      </c>
      <c r="I79" s="15">
        <f t="shared" si="7"/>
        <v>3945.6666666666665</v>
      </c>
      <c r="J79" s="16">
        <v>241</v>
      </c>
      <c r="K79" s="16">
        <v>1285</v>
      </c>
      <c r="L79" s="16">
        <v>1436</v>
      </c>
      <c r="M79" s="16">
        <f t="shared" si="8"/>
        <v>987.33333333333337</v>
      </c>
    </row>
    <row r="80" spans="1:13" s="17" customFormat="1" ht="25.5" customHeight="1" x14ac:dyDescent="0.25">
      <c r="A80" s="11" t="s">
        <v>122</v>
      </c>
      <c r="B80" s="12">
        <v>4070</v>
      </c>
      <c r="C80" s="12">
        <v>4006</v>
      </c>
      <c r="D80" s="12">
        <v>3796</v>
      </c>
      <c r="E80" s="13">
        <f t="shared" si="6"/>
        <v>3957.3333333333335</v>
      </c>
      <c r="F80" s="14">
        <v>86574</v>
      </c>
      <c r="G80" s="14">
        <v>84760</v>
      </c>
      <c r="H80" s="14">
        <v>75182</v>
      </c>
      <c r="I80" s="15">
        <f t="shared" si="7"/>
        <v>82172</v>
      </c>
      <c r="J80" s="16">
        <v>58350</v>
      </c>
      <c r="K80" s="16">
        <v>62174</v>
      </c>
      <c r="L80" s="16">
        <v>69862</v>
      </c>
      <c r="M80" s="16">
        <f t="shared" si="8"/>
        <v>63462</v>
      </c>
    </row>
    <row r="81" spans="1:13" s="17" customFormat="1" ht="25.5" customHeight="1" x14ac:dyDescent="0.25">
      <c r="A81" s="11" t="s">
        <v>124</v>
      </c>
      <c r="B81" s="12">
        <v>776</v>
      </c>
      <c r="C81" s="12">
        <v>872</v>
      </c>
      <c r="D81" s="12">
        <v>771</v>
      </c>
      <c r="E81" s="13">
        <f t="shared" si="6"/>
        <v>806.33333333333337</v>
      </c>
      <c r="F81" s="14">
        <v>19093</v>
      </c>
      <c r="G81" s="14">
        <v>19948</v>
      </c>
      <c r="H81" s="14">
        <v>20213</v>
      </c>
      <c r="I81" s="15">
        <f t="shared" si="7"/>
        <v>19751.333333333332</v>
      </c>
      <c r="J81" s="16">
        <v>7110</v>
      </c>
      <c r="K81" s="16">
        <v>8915</v>
      </c>
      <c r="L81" s="16">
        <v>9755</v>
      </c>
      <c r="M81" s="16">
        <f t="shared" si="8"/>
        <v>8593.3333333333339</v>
      </c>
    </row>
    <row r="82" spans="1:13" s="17" customFormat="1" ht="25.5" customHeight="1" x14ac:dyDescent="0.25">
      <c r="A82" s="11" t="s">
        <v>273</v>
      </c>
      <c r="B82" s="12">
        <v>583</v>
      </c>
      <c r="C82" s="12">
        <v>506</v>
      </c>
      <c r="D82" s="12">
        <v>427</v>
      </c>
      <c r="E82" s="13">
        <f t="shared" si="6"/>
        <v>505.33333333333331</v>
      </c>
      <c r="F82" s="14">
        <v>17128</v>
      </c>
      <c r="G82" s="14">
        <v>15147</v>
      </c>
      <c r="H82" s="14">
        <v>15475</v>
      </c>
      <c r="I82" s="15">
        <f t="shared" si="7"/>
        <v>15916.666666666666</v>
      </c>
      <c r="J82" s="16">
        <v>12930</v>
      </c>
      <c r="K82" s="16">
        <v>10251</v>
      </c>
      <c r="L82" s="16">
        <v>11290</v>
      </c>
      <c r="M82" s="16">
        <f t="shared" si="8"/>
        <v>11490.333333333334</v>
      </c>
    </row>
    <row r="83" spans="1:13" s="17" customFormat="1" ht="25.5" customHeight="1" x14ac:dyDescent="0.25">
      <c r="A83" s="11" t="s">
        <v>274</v>
      </c>
      <c r="B83" s="12">
        <v>721</v>
      </c>
      <c r="C83" s="12">
        <v>652</v>
      </c>
      <c r="D83" s="12">
        <v>631</v>
      </c>
      <c r="E83" s="13">
        <f t="shared" si="6"/>
        <v>668</v>
      </c>
      <c r="F83" s="14">
        <v>20779</v>
      </c>
      <c r="G83" s="14">
        <v>21362</v>
      </c>
      <c r="H83" s="14">
        <v>21253</v>
      </c>
      <c r="I83" s="15">
        <f t="shared" si="7"/>
        <v>21131.333333333332</v>
      </c>
      <c r="J83" s="16">
        <v>6291</v>
      </c>
      <c r="K83" s="16">
        <v>5615</v>
      </c>
      <c r="L83" s="16">
        <v>6191</v>
      </c>
      <c r="M83" s="16">
        <f t="shared" si="8"/>
        <v>6032.333333333333</v>
      </c>
    </row>
    <row r="84" spans="1:13" s="17" customFormat="1" ht="25.5" customHeight="1" x14ac:dyDescent="0.25">
      <c r="A84" s="11" t="s">
        <v>130</v>
      </c>
      <c r="B84" s="12">
        <v>1599</v>
      </c>
      <c r="C84" s="12">
        <v>1423</v>
      </c>
      <c r="D84" s="12">
        <v>1306</v>
      </c>
      <c r="E84" s="13">
        <f t="shared" si="6"/>
        <v>1442.6666666666667</v>
      </c>
      <c r="F84" s="14">
        <v>17970</v>
      </c>
      <c r="G84" s="14">
        <v>13194</v>
      </c>
      <c r="H84" s="14">
        <v>13907</v>
      </c>
      <c r="I84" s="15">
        <f t="shared" si="7"/>
        <v>15023.666666666666</v>
      </c>
      <c r="J84" s="16">
        <v>20838</v>
      </c>
      <c r="K84" s="16">
        <v>15059</v>
      </c>
      <c r="L84" s="16">
        <v>13664</v>
      </c>
      <c r="M84" s="16">
        <f t="shared" si="8"/>
        <v>16520.333333333332</v>
      </c>
    </row>
    <row r="85" spans="1:13" s="17" customFormat="1" ht="25.5" customHeight="1" x14ac:dyDescent="0.25">
      <c r="A85" s="11" t="s">
        <v>132</v>
      </c>
      <c r="B85" s="12">
        <v>1885</v>
      </c>
      <c r="C85" s="12">
        <v>1669</v>
      </c>
      <c r="D85" s="12">
        <v>1626</v>
      </c>
      <c r="E85" s="13">
        <f t="shared" si="6"/>
        <v>1726.6666666666667</v>
      </c>
      <c r="F85" s="14">
        <v>33948</v>
      </c>
      <c r="G85" s="14">
        <v>34183</v>
      </c>
      <c r="H85" s="14">
        <v>34534</v>
      </c>
      <c r="I85" s="15">
        <f t="shared" si="7"/>
        <v>34221.666666666664</v>
      </c>
      <c r="J85" s="16">
        <v>25481</v>
      </c>
      <c r="K85" s="16">
        <v>29933</v>
      </c>
      <c r="L85" s="16">
        <v>31383</v>
      </c>
      <c r="M85" s="16">
        <f t="shared" si="8"/>
        <v>28932.333333333332</v>
      </c>
    </row>
    <row r="86" spans="1:13" s="17" customFormat="1" ht="25.5" customHeight="1" x14ac:dyDescent="0.25">
      <c r="A86" s="11" t="s">
        <v>134</v>
      </c>
      <c r="B86" s="12">
        <v>1966</v>
      </c>
      <c r="C86" s="12">
        <v>2132</v>
      </c>
      <c r="D86" s="12">
        <v>1600</v>
      </c>
      <c r="E86" s="13">
        <f t="shared" si="6"/>
        <v>1899.3333333333333</v>
      </c>
      <c r="F86" s="14">
        <v>34789</v>
      </c>
      <c r="G86" s="14">
        <v>32864</v>
      </c>
      <c r="H86" s="14">
        <v>34220</v>
      </c>
      <c r="I86" s="15">
        <f t="shared" si="7"/>
        <v>33957.666666666664</v>
      </c>
      <c r="J86" s="16">
        <v>34555</v>
      </c>
      <c r="K86" s="16">
        <v>31070</v>
      </c>
      <c r="L86" s="16">
        <v>27477</v>
      </c>
      <c r="M86" s="16">
        <f t="shared" si="8"/>
        <v>31034</v>
      </c>
    </row>
    <row r="87" spans="1:13" s="17" customFormat="1" ht="25.5" customHeight="1" x14ac:dyDescent="0.25">
      <c r="A87" s="11" t="s">
        <v>136</v>
      </c>
      <c r="B87" s="12">
        <v>6389</v>
      </c>
      <c r="C87" s="12">
        <v>6683</v>
      </c>
      <c r="D87" s="12">
        <v>6980</v>
      </c>
      <c r="E87" s="13">
        <f t="shared" si="6"/>
        <v>6684</v>
      </c>
      <c r="F87" s="14">
        <v>58051</v>
      </c>
      <c r="G87" s="14">
        <v>58765</v>
      </c>
      <c r="H87" s="14">
        <v>57621</v>
      </c>
      <c r="I87" s="15">
        <f t="shared" si="7"/>
        <v>58145.666666666664</v>
      </c>
      <c r="J87" s="16">
        <v>25027</v>
      </c>
      <c r="K87" s="16">
        <v>46182</v>
      </c>
      <c r="L87" s="16">
        <v>55235</v>
      </c>
      <c r="M87" s="16">
        <f t="shared" si="8"/>
        <v>42148</v>
      </c>
    </row>
    <row r="88" spans="1:13" s="17" customFormat="1" ht="25.5" customHeight="1" x14ac:dyDescent="0.25">
      <c r="A88" s="11" t="s">
        <v>275</v>
      </c>
      <c r="B88" s="12">
        <v>362</v>
      </c>
      <c r="C88" s="12">
        <v>386</v>
      </c>
      <c r="D88" s="12">
        <v>364</v>
      </c>
      <c r="E88" s="13">
        <f t="shared" si="6"/>
        <v>370.66666666666669</v>
      </c>
      <c r="F88" s="14">
        <v>13576</v>
      </c>
      <c r="G88" s="14">
        <v>13739</v>
      </c>
      <c r="H88" s="14">
        <v>12761</v>
      </c>
      <c r="I88" s="15">
        <f t="shared" si="7"/>
        <v>13358.666666666666</v>
      </c>
      <c r="J88" s="16">
        <v>2656</v>
      </c>
      <c r="K88" s="16">
        <v>2291</v>
      </c>
      <c r="L88" s="16">
        <v>4224</v>
      </c>
      <c r="M88" s="16">
        <f t="shared" si="8"/>
        <v>3057</v>
      </c>
    </row>
    <row r="89" spans="1:13" s="17" customFormat="1" ht="25.5" customHeight="1" x14ac:dyDescent="0.25">
      <c r="A89" s="11" t="s">
        <v>140</v>
      </c>
      <c r="B89" s="12">
        <v>942</v>
      </c>
      <c r="C89" s="12">
        <v>563</v>
      </c>
      <c r="D89" s="12">
        <v>649</v>
      </c>
      <c r="E89" s="13">
        <f t="shared" si="6"/>
        <v>718</v>
      </c>
      <c r="F89" s="14">
        <v>12254</v>
      </c>
      <c r="G89" s="14">
        <v>13218</v>
      </c>
      <c r="H89" s="14">
        <v>11479</v>
      </c>
      <c r="I89" s="15">
        <f t="shared" si="7"/>
        <v>12317</v>
      </c>
      <c r="J89" s="16">
        <v>5699</v>
      </c>
      <c r="K89" s="16">
        <v>6207</v>
      </c>
      <c r="L89" s="16">
        <v>8959</v>
      </c>
      <c r="M89" s="16">
        <f t="shared" si="8"/>
        <v>6955</v>
      </c>
    </row>
    <row r="90" spans="1:13" s="17" customFormat="1" ht="25.5" customHeight="1" x14ac:dyDescent="0.25">
      <c r="A90" s="11" t="s">
        <v>142</v>
      </c>
      <c r="B90" s="12">
        <v>301</v>
      </c>
      <c r="C90" s="12">
        <v>333</v>
      </c>
      <c r="D90" s="12">
        <v>384</v>
      </c>
      <c r="E90" s="13">
        <f t="shared" si="6"/>
        <v>339.33333333333331</v>
      </c>
      <c r="F90" s="14">
        <v>12942</v>
      </c>
      <c r="G90" s="14">
        <v>13427</v>
      </c>
      <c r="H90" s="14">
        <v>13535</v>
      </c>
      <c r="I90" s="15">
        <f t="shared" si="7"/>
        <v>13301.333333333334</v>
      </c>
      <c r="J90" s="16">
        <v>4620</v>
      </c>
      <c r="K90" s="16">
        <v>3361</v>
      </c>
      <c r="L90" s="16">
        <v>4892</v>
      </c>
      <c r="M90" s="16">
        <f t="shared" si="8"/>
        <v>4291</v>
      </c>
    </row>
    <row r="91" spans="1:13" s="17" customFormat="1" ht="25.5" customHeight="1" x14ac:dyDescent="0.25">
      <c r="A91" s="11" t="s">
        <v>276</v>
      </c>
      <c r="B91" s="12">
        <v>1</v>
      </c>
      <c r="C91" s="12">
        <v>1</v>
      </c>
      <c r="D91" s="12">
        <v>1</v>
      </c>
      <c r="E91" s="13">
        <f t="shared" si="6"/>
        <v>1</v>
      </c>
      <c r="F91" s="14">
        <v>9773</v>
      </c>
      <c r="G91" s="14">
        <v>9766</v>
      </c>
      <c r="H91" s="14">
        <v>9612</v>
      </c>
      <c r="I91" s="15">
        <f t="shared" si="7"/>
        <v>9717</v>
      </c>
      <c r="J91" s="16">
        <v>0</v>
      </c>
      <c r="K91" s="16">
        <v>0</v>
      </c>
      <c r="L91" s="16">
        <v>0</v>
      </c>
      <c r="M91" s="16">
        <f t="shared" si="8"/>
        <v>0</v>
      </c>
    </row>
    <row r="92" spans="1:13" s="17" customFormat="1" ht="25.5" customHeight="1" x14ac:dyDescent="0.25">
      <c r="A92" s="11" t="s">
        <v>146</v>
      </c>
      <c r="B92" s="12">
        <v>780</v>
      </c>
      <c r="C92" s="12">
        <v>783</v>
      </c>
      <c r="D92" s="12">
        <v>739</v>
      </c>
      <c r="E92" s="13">
        <f t="shared" si="6"/>
        <v>767.33333333333337</v>
      </c>
      <c r="F92" s="14">
        <v>20080</v>
      </c>
      <c r="G92" s="14">
        <v>20407</v>
      </c>
      <c r="H92" s="14">
        <v>20882</v>
      </c>
      <c r="I92" s="15">
        <f t="shared" si="7"/>
        <v>20456.333333333332</v>
      </c>
      <c r="J92" s="16">
        <v>1985</v>
      </c>
      <c r="K92" s="16">
        <v>2494</v>
      </c>
      <c r="L92" s="16">
        <v>2141</v>
      </c>
      <c r="M92" s="16">
        <f t="shared" si="8"/>
        <v>2206.6666666666665</v>
      </c>
    </row>
    <row r="93" spans="1:13" s="17" customFormat="1" ht="25.5" customHeight="1" x14ac:dyDescent="0.25">
      <c r="A93" s="11" t="s">
        <v>277</v>
      </c>
      <c r="B93" s="12">
        <v>1</v>
      </c>
      <c r="C93" s="12">
        <v>1</v>
      </c>
      <c r="D93" s="12">
        <v>1</v>
      </c>
      <c r="E93" s="13">
        <f t="shared" si="6"/>
        <v>1</v>
      </c>
      <c r="F93" s="14">
        <v>16786</v>
      </c>
      <c r="G93" s="14">
        <v>17250</v>
      </c>
      <c r="H93" s="14">
        <v>16502</v>
      </c>
      <c r="I93" s="15">
        <f t="shared" si="7"/>
        <v>16846</v>
      </c>
      <c r="J93" s="16">
        <v>0</v>
      </c>
      <c r="K93" s="16">
        <v>0</v>
      </c>
      <c r="L93" s="16">
        <v>0</v>
      </c>
      <c r="M93" s="16">
        <f t="shared" si="8"/>
        <v>0</v>
      </c>
    </row>
    <row r="94" spans="1:13" s="17" customFormat="1" ht="25.5" customHeight="1" x14ac:dyDescent="0.25">
      <c r="A94" s="11" t="s">
        <v>278</v>
      </c>
      <c r="B94" s="12">
        <v>462</v>
      </c>
      <c r="C94" s="12">
        <v>464</v>
      </c>
      <c r="D94" s="12">
        <v>462</v>
      </c>
      <c r="E94" s="13">
        <f t="shared" si="6"/>
        <v>462.66666666666669</v>
      </c>
      <c r="F94" s="14">
        <v>10699</v>
      </c>
      <c r="G94" s="14">
        <v>10600</v>
      </c>
      <c r="H94" s="14">
        <v>10855</v>
      </c>
      <c r="I94" s="15">
        <f t="shared" si="7"/>
        <v>10718</v>
      </c>
      <c r="J94" s="16">
        <v>3878</v>
      </c>
      <c r="K94" s="16">
        <v>5652</v>
      </c>
      <c r="L94" s="16">
        <v>5782</v>
      </c>
      <c r="M94" s="16">
        <f t="shared" si="8"/>
        <v>5104</v>
      </c>
    </row>
    <row r="95" spans="1:13" s="17" customFormat="1" ht="25.5" customHeight="1" x14ac:dyDescent="0.25">
      <c r="A95" s="11" t="s">
        <v>279</v>
      </c>
      <c r="B95" s="12">
        <v>1145</v>
      </c>
      <c r="C95" s="12">
        <v>1255</v>
      </c>
      <c r="D95" s="12">
        <v>1330</v>
      </c>
      <c r="E95" s="13">
        <f t="shared" si="6"/>
        <v>1243.3333333333333</v>
      </c>
      <c r="F95" s="14">
        <v>15520</v>
      </c>
      <c r="G95" s="14">
        <v>15460</v>
      </c>
      <c r="H95" s="14">
        <v>16635</v>
      </c>
      <c r="I95" s="15">
        <f t="shared" si="7"/>
        <v>15871.666666666666</v>
      </c>
      <c r="J95" s="16">
        <v>10573</v>
      </c>
      <c r="K95" s="16">
        <v>18032</v>
      </c>
      <c r="L95" s="16">
        <v>14661</v>
      </c>
      <c r="M95" s="16">
        <f t="shared" si="8"/>
        <v>14422</v>
      </c>
    </row>
    <row r="96" spans="1:13" s="17" customFormat="1" ht="25.5" customHeight="1" x14ac:dyDescent="0.25">
      <c r="A96" s="11" t="s">
        <v>280</v>
      </c>
      <c r="B96" s="12">
        <v>799</v>
      </c>
      <c r="C96" s="12">
        <v>809</v>
      </c>
      <c r="D96" s="12">
        <v>827</v>
      </c>
      <c r="E96" s="13">
        <f t="shared" si="6"/>
        <v>811.66666666666663</v>
      </c>
      <c r="F96" s="14">
        <v>18333</v>
      </c>
      <c r="G96" s="14">
        <v>19027</v>
      </c>
      <c r="H96" s="14">
        <v>19380</v>
      </c>
      <c r="I96" s="15">
        <f t="shared" si="7"/>
        <v>18913.333333333332</v>
      </c>
      <c r="J96" s="16">
        <v>12950</v>
      </c>
      <c r="K96" s="16">
        <v>17173</v>
      </c>
      <c r="L96" s="16">
        <v>17163</v>
      </c>
      <c r="M96" s="16">
        <f t="shared" si="8"/>
        <v>15762</v>
      </c>
    </row>
    <row r="97" spans="1:13" s="17" customFormat="1" ht="25.5" customHeight="1" x14ac:dyDescent="0.25">
      <c r="A97" s="11" t="s">
        <v>150</v>
      </c>
      <c r="B97" s="12">
        <v>7911</v>
      </c>
      <c r="C97" s="12">
        <v>7392</v>
      </c>
      <c r="D97" s="12">
        <v>7876</v>
      </c>
      <c r="E97" s="13">
        <f t="shared" si="6"/>
        <v>7726.333333333333</v>
      </c>
      <c r="F97" s="14">
        <v>91733</v>
      </c>
      <c r="G97" s="14">
        <v>89347</v>
      </c>
      <c r="H97" s="14">
        <v>85266</v>
      </c>
      <c r="I97" s="15">
        <f t="shared" si="7"/>
        <v>88782</v>
      </c>
      <c r="J97" s="16">
        <v>195965</v>
      </c>
      <c r="K97" s="16">
        <v>233066</v>
      </c>
      <c r="L97" s="16">
        <v>249322</v>
      </c>
      <c r="M97" s="16">
        <f t="shared" si="8"/>
        <v>226117.66666666666</v>
      </c>
    </row>
    <row r="98" spans="1:13" s="17" customFormat="1" ht="25.5" customHeight="1" x14ac:dyDescent="0.25">
      <c r="A98" s="11" t="s">
        <v>281</v>
      </c>
      <c r="B98" s="12">
        <v>506</v>
      </c>
      <c r="C98" s="12">
        <v>342</v>
      </c>
      <c r="D98" s="12">
        <v>407</v>
      </c>
      <c r="E98" s="13">
        <f t="shared" si="6"/>
        <v>418.33333333333331</v>
      </c>
      <c r="F98" s="14">
        <v>18586</v>
      </c>
      <c r="G98" s="14">
        <v>18059</v>
      </c>
      <c r="H98" s="14">
        <v>18937</v>
      </c>
      <c r="I98" s="15">
        <f t="shared" si="7"/>
        <v>18527.333333333332</v>
      </c>
      <c r="J98" s="16">
        <v>6410</v>
      </c>
      <c r="K98" s="16">
        <v>7702</v>
      </c>
      <c r="L98" s="16">
        <v>6870</v>
      </c>
      <c r="M98" s="16">
        <f t="shared" si="8"/>
        <v>6994</v>
      </c>
    </row>
    <row r="99" spans="1:13" s="17" customFormat="1" ht="25.5" customHeight="1" x14ac:dyDescent="0.25">
      <c r="A99" s="11" t="s">
        <v>154</v>
      </c>
      <c r="B99" s="12">
        <v>476</v>
      </c>
      <c r="C99" s="12">
        <v>518</v>
      </c>
      <c r="D99" s="12">
        <v>437</v>
      </c>
      <c r="E99" s="13">
        <f t="shared" ref="E99:E130" si="9">AVERAGE(B99,C99,D99)</f>
        <v>477</v>
      </c>
      <c r="F99" s="14">
        <v>12394</v>
      </c>
      <c r="G99" s="14">
        <v>11749</v>
      </c>
      <c r="H99" s="14">
        <v>11732</v>
      </c>
      <c r="I99" s="15">
        <f t="shared" ref="I99:I130" si="10">AVERAGE(F99:H99)</f>
        <v>11958.333333333334</v>
      </c>
      <c r="J99" s="16">
        <v>5815</v>
      </c>
      <c r="K99" s="16">
        <v>8587</v>
      </c>
      <c r="L99" s="16">
        <v>9841</v>
      </c>
      <c r="M99" s="16">
        <f t="shared" ref="M99:M130" si="11">AVERAGE(J99:L99)</f>
        <v>8081</v>
      </c>
    </row>
    <row r="100" spans="1:13" s="17" customFormat="1" ht="25.5" customHeight="1" x14ac:dyDescent="0.25">
      <c r="A100" s="11" t="s">
        <v>156</v>
      </c>
      <c r="B100" s="12">
        <v>265</v>
      </c>
      <c r="C100" s="12">
        <v>289</v>
      </c>
      <c r="D100" s="12">
        <v>285</v>
      </c>
      <c r="E100" s="13">
        <f t="shared" si="9"/>
        <v>279.66666666666669</v>
      </c>
      <c r="F100" s="14">
        <v>9409</v>
      </c>
      <c r="G100" s="14">
        <v>10838</v>
      </c>
      <c r="H100" s="14">
        <v>11403</v>
      </c>
      <c r="I100" s="15">
        <f t="shared" si="10"/>
        <v>10550</v>
      </c>
      <c r="J100" s="16">
        <v>1336</v>
      </c>
      <c r="K100" s="16">
        <v>2221</v>
      </c>
      <c r="L100" s="16">
        <v>3206</v>
      </c>
      <c r="M100" s="16">
        <f t="shared" si="11"/>
        <v>2254.3333333333335</v>
      </c>
    </row>
    <row r="101" spans="1:13" s="17" customFormat="1" ht="25.5" customHeight="1" x14ac:dyDescent="0.25">
      <c r="A101" s="11" t="s">
        <v>158</v>
      </c>
      <c r="B101" s="12">
        <v>6</v>
      </c>
      <c r="C101" s="12">
        <v>66</v>
      </c>
      <c r="D101" s="12">
        <v>126</v>
      </c>
      <c r="E101" s="13">
        <f t="shared" si="9"/>
        <v>66</v>
      </c>
      <c r="F101" s="14">
        <v>0</v>
      </c>
      <c r="G101" s="14">
        <v>4638</v>
      </c>
      <c r="H101" s="14">
        <v>9491</v>
      </c>
      <c r="I101" s="15">
        <f t="shared" si="10"/>
        <v>4709.666666666667</v>
      </c>
      <c r="J101" s="16">
        <v>0</v>
      </c>
      <c r="K101" s="16">
        <v>0</v>
      </c>
      <c r="L101" s="16">
        <v>1731</v>
      </c>
      <c r="M101" s="16">
        <f t="shared" si="11"/>
        <v>577</v>
      </c>
    </row>
    <row r="102" spans="1:13" s="17" customFormat="1" ht="25.5" customHeight="1" x14ac:dyDescent="0.25">
      <c r="A102" s="11" t="s">
        <v>160</v>
      </c>
      <c r="B102" s="12">
        <v>35702</v>
      </c>
      <c r="C102" s="12">
        <v>40055</v>
      </c>
      <c r="D102" s="12">
        <v>33633</v>
      </c>
      <c r="E102" s="13">
        <f t="shared" si="9"/>
        <v>36463.333333333336</v>
      </c>
      <c r="F102" s="14">
        <v>182586</v>
      </c>
      <c r="G102" s="14">
        <v>182412</v>
      </c>
      <c r="H102" s="14">
        <v>179370</v>
      </c>
      <c r="I102" s="15">
        <f t="shared" si="10"/>
        <v>181456</v>
      </c>
      <c r="J102" s="16">
        <v>430109</v>
      </c>
      <c r="K102" s="16">
        <v>624603</v>
      </c>
      <c r="L102" s="16">
        <v>730648</v>
      </c>
      <c r="M102" s="16">
        <f t="shared" si="11"/>
        <v>595120</v>
      </c>
    </row>
    <row r="103" spans="1:13" s="17" customFormat="1" ht="25.5" customHeight="1" x14ac:dyDescent="0.25">
      <c r="A103" s="11" t="s">
        <v>282</v>
      </c>
      <c r="B103" s="12">
        <v>877</v>
      </c>
      <c r="C103" s="12">
        <v>922</v>
      </c>
      <c r="D103" s="12">
        <v>672</v>
      </c>
      <c r="E103" s="13">
        <f t="shared" si="9"/>
        <v>823.66666666666663</v>
      </c>
      <c r="F103" s="14">
        <v>12802</v>
      </c>
      <c r="G103" s="14">
        <v>12980</v>
      </c>
      <c r="H103" s="14">
        <v>13559</v>
      </c>
      <c r="I103" s="15">
        <f t="shared" si="10"/>
        <v>13113.666666666666</v>
      </c>
      <c r="J103" s="16">
        <v>2905</v>
      </c>
      <c r="K103" s="16">
        <v>3184</v>
      </c>
      <c r="L103" s="16">
        <v>3349</v>
      </c>
      <c r="M103" s="16">
        <f t="shared" si="11"/>
        <v>3146</v>
      </c>
    </row>
    <row r="104" spans="1:13" s="17" customFormat="1" ht="25.5" customHeight="1" x14ac:dyDescent="0.25">
      <c r="A104" s="11" t="s">
        <v>164</v>
      </c>
      <c r="B104" s="12">
        <v>496</v>
      </c>
      <c r="C104" s="12">
        <v>487</v>
      </c>
      <c r="D104" s="12">
        <v>468</v>
      </c>
      <c r="E104" s="13">
        <f t="shared" si="9"/>
        <v>483.66666666666669</v>
      </c>
      <c r="F104" s="14">
        <v>21825</v>
      </c>
      <c r="G104" s="14">
        <v>22622</v>
      </c>
      <c r="H104" s="14">
        <v>22736</v>
      </c>
      <c r="I104" s="15">
        <f t="shared" si="10"/>
        <v>22394.333333333332</v>
      </c>
      <c r="J104" s="16">
        <v>7501</v>
      </c>
      <c r="K104" s="16">
        <v>7093</v>
      </c>
      <c r="L104" s="16">
        <v>8015</v>
      </c>
      <c r="M104" s="16">
        <f t="shared" si="11"/>
        <v>7536.333333333333</v>
      </c>
    </row>
    <row r="105" spans="1:13" s="17" customFormat="1" ht="25.5" customHeight="1" x14ac:dyDescent="0.25">
      <c r="A105" s="11" t="s">
        <v>166</v>
      </c>
      <c r="B105" s="12">
        <v>2658</v>
      </c>
      <c r="C105" s="12">
        <v>2722</v>
      </c>
      <c r="D105" s="12">
        <v>2594</v>
      </c>
      <c r="E105" s="13">
        <f t="shared" si="9"/>
        <v>2658</v>
      </c>
      <c r="F105" s="14">
        <v>39137</v>
      </c>
      <c r="G105" s="14">
        <v>37633</v>
      </c>
      <c r="H105" s="14">
        <v>55219</v>
      </c>
      <c r="I105" s="15">
        <f t="shared" si="10"/>
        <v>43996.333333333336</v>
      </c>
      <c r="J105" s="16">
        <v>26474</v>
      </c>
      <c r="K105" s="16">
        <v>39476</v>
      </c>
      <c r="L105" s="16">
        <v>40648</v>
      </c>
      <c r="M105" s="16">
        <f t="shared" si="11"/>
        <v>35532.666666666664</v>
      </c>
    </row>
    <row r="106" spans="1:13" s="17" customFormat="1" ht="25.5" customHeight="1" x14ac:dyDescent="0.25">
      <c r="A106" s="11" t="s">
        <v>167</v>
      </c>
      <c r="B106" s="12">
        <v>12226</v>
      </c>
      <c r="C106" s="12">
        <v>12394</v>
      </c>
      <c r="D106" s="12">
        <v>12460</v>
      </c>
      <c r="E106" s="13">
        <f t="shared" si="9"/>
        <v>12360</v>
      </c>
      <c r="F106" s="14">
        <v>122252</v>
      </c>
      <c r="G106" s="14">
        <v>120998</v>
      </c>
      <c r="H106" s="14">
        <v>122124</v>
      </c>
      <c r="I106" s="15">
        <f t="shared" si="10"/>
        <v>121791.33333333333</v>
      </c>
      <c r="J106" s="16">
        <v>185596</v>
      </c>
      <c r="K106" s="16">
        <v>171766</v>
      </c>
      <c r="L106" s="16">
        <v>169318</v>
      </c>
      <c r="M106" s="16">
        <f t="shared" si="11"/>
        <v>175560</v>
      </c>
    </row>
    <row r="107" spans="1:13" s="17" customFormat="1" ht="25.5" customHeight="1" x14ac:dyDescent="0.25">
      <c r="A107" s="11" t="s">
        <v>169</v>
      </c>
      <c r="B107" s="12">
        <v>1471</v>
      </c>
      <c r="C107" s="12">
        <v>1383</v>
      </c>
      <c r="D107" s="12">
        <v>1291</v>
      </c>
      <c r="E107" s="13">
        <f t="shared" si="9"/>
        <v>1381.6666666666667</v>
      </c>
      <c r="F107" s="14">
        <v>37849</v>
      </c>
      <c r="G107" s="14">
        <v>38748</v>
      </c>
      <c r="H107" s="14">
        <v>39745</v>
      </c>
      <c r="I107" s="15">
        <f t="shared" si="10"/>
        <v>38780.666666666664</v>
      </c>
      <c r="J107" s="16">
        <v>34741</v>
      </c>
      <c r="K107" s="16">
        <v>39600</v>
      </c>
      <c r="L107" s="16">
        <v>39961</v>
      </c>
      <c r="M107" s="16">
        <f t="shared" si="11"/>
        <v>38100.666666666664</v>
      </c>
    </row>
    <row r="108" spans="1:13" s="17" customFormat="1" ht="25.5" customHeight="1" x14ac:dyDescent="0.25">
      <c r="A108" s="11" t="s">
        <v>283</v>
      </c>
      <c r="B108" s="12">
        <v>40172</v>
      </c>
      <c r="C108" s="12">
        <v>40202</v>
      </c>
      <c r="D108" s="12">
        <v>36594</v>
      </c>
      <c r="E108" s="13">
        <f t="shared" si="9"/>
        <v>38989.333333333336</v>
      </c>
      <c r="F108" s="14">
        <v>451660</v>
      </c>
      <c r="G108" s="14">
        <v>442494</v>
      </c>
      <c r="H108" s="14">
        <v>434128</v>
      </c>
      <c r="I108" s="15">
        <f t="shared" si="10"/>
        <v>442760.66666666669</v>
      </c>
      <c r="J108" s="16">
        <v>567239</v>
      </c>
      <c r="K108" s="16">
        <v>620125</v>
      </c>
      <c r="L108" s="16">
        <v>578825</v>
      </c>
      <c r="M108" s="16">
        <f t="shared" si="11"/>
        <v>588729.66666666663</v>
      </c>
    </row>
    <row r="109" spans="1:13" s="17" customFormat="1" ht="25.5" customHeight="1" x14ac:dyDescent="0.25">
      <c r="A109" s="11" t="s">
        <v>173</v>
      </c>
      <c r="B109" s="12">
        <v>2151</v>
      </c>
      <c r="C109" s="12">
        <v>2000</v>
      </c>
      <c r="D109" s="12">
        <v>1446</v>
      </c>
      <c r="E109" s="13">
        <f t="shared" si="9"/>
        <v>1865.6666666666667</v>
      </c>
      <c r="F109" s="14">
        <v>29358</v>
      </c>
      <c r="G109" s="14">
        <v>29967</v>
      </c>
      <c r="H109" s="14">
        <v>30269</v>
      </c>
      <c r="I109" s="15">
        <f t="shared" si="10"/>
        <v>29864.666666666668</v>
      </c>
      <c r="J109" s="16">
        <v>33673</v>
      </c>
      <c r="K109" s="16">
        <v>30857</v>
      </c>
      <c r="L109" s="16">
        <v>31213</v>
      </c>
      <c r="M109" s="16">
        <f t="shared" si="11"/>
        <v>31914.333333333332</v>
      </c>
    </row>
    <row r="110" spans="1:13" s="17" customFormat="1" ht="25.5" customHeight="1" x14ac:dyDescent="0.25">
      <c r="A110" s="11" t="s">
        <v>175</v>
      </c>
      <c r="B110" s="12">
        <v>1001</v>
      </c>
      <c r="C110" s="12">
        <v>983</v>
      </c>
      <c r="D110" s="12">
        <v>999</v>
      </c>
      <c r="E110" s="13">
        <f t="shared" si="9"/>
        <v>994.33333333333337</v>
      </c>
      <c r="F110" s="14">
        <v>8442</v>
      </c>
      <c r="G110" s="14">
        <v>8908</v>
      </c>
      <c r="H110" s="14">
        <v>7594</v>
      </c>
      <c r="I110" s="15">
        <f t="shared" si="10"/>
        <v>8314.6666666666661</v>
      </c>
      <c r="J110" s="16">
        <v>2653</v>
      </c>
      <c r="K110" s="16">
        <v>9706</v>
      </c>
      <c r="L110" s="16">
        <v>13476</v>
      </c>
      <c r="M110" s="16">
        <f t="shared" si="11"/>
        <v>8611.6666666666661</v>
      </c>
    </row>
    <row r="111" spans="1:13" s="17" customFormat="1" ht="25.5" customHeight="1" x14ac:dyDescent="0.25">
      <c r="A111" s="11" t="s">
        <v>176</v>
      </c>
      <c r="B111" s="12">
        <v>3961</v>
      </c>
      <c r="C111" s="12">
        <v>3683</v>
      </c>
      <c r="D111" s="12">
        <v>3117</v>
      </c>
      <c r="E111" s="13">
        <f t="shared" si="9"/>
        <v>3587</v>
      </c>
      <c r="F111" s="14">
        <v>56797</v>
      </c>
      <c r="G111" s="14">
        <v>57444</v>
      </c>
      <c r="H111" s="14">
        <v>58245</v>
      </c>
      <c r="I111" s="15">
        <f t="shared" si="10"/>
        <v>57495.333333333336</v>
      </c>
      <c r="J111" s="16">
        <v>24943</v>
      </c>
      <c r="K111" s="16">
        <v>32958</v>
      </c>
      <c r="L111" s="16">
        <v>36035</v>
      </c>
      <c r="M111" s="16">
        <f t="shared" si="11"/>
        <v>31312</v>
      </c>
    </row>
    <row r="112" spans="1:13" s="17" customFormat="1" ht="25.5" customHeight="1" x14ac:dyDescent="0.25">
      <c r="A112" s="11" t="s">
        <v>284</v>
      </c>
      <c r="B112" s="12">
        <v>832</v>
      </c>
      <c r="C112" s="12">
        <v>816</v>
      </c>
      <c r="D112" s="12">
        <v>765</v>
      </c>
      <c r="E112" s="13">
        <f t="shared" si="9"/>
        <v>804.33333333333337</v>
      </c>
      <c r="F112" s="14">
        <v>7608</v>
      </c>
      <c r="G112" s="14">
        <v>7623</v>
      </c>
      <c r="H112" s="14">
        <v>7845</v>
      </c>
      <c r="I112" s="15">
        <f t="shared" si="10"/>
        <v>7692</v>
      </c>
      <c r="J112" s="16">
        <v>824</v>
      </c>
      <c r="K112" s="16">
        <v>907</v>
      </c>
      <c r="L112" s="16">
        <v>1062</v>
      </c>
      <c r="M112" s="16">
        <f t="shared" si="11"/>
        <v>931</v>
      </c>
    </row>
    <row r="113" spans="1:13" s="17" customFormat="1" ht="25.5" customHeight="1" x14ac:dyDescent="0.25">
      <c r="A113" s="11" t="s">
        <v>178</v>
      </c>
      <c r="B113" s="12">
        <v>1654</v>
      </c>
      <c r="C113" s="12">
        <v>1794</v>
      </c>
      <c r="D113" s="12">
        <v>1919</v>
      </c>
      <c r="E113" s="13">
        <f t="shared" si="9"/>
        <v>1789</v>
      </c>
      <c r="F113" s="14">
        <v>40273</v>
      </c>
      <c r="G113" s="14">
        <v>40257</v>
      </c>
      <c r="H113" s="14">
        <v>40718</v>
      </c>
      <c r="I113" s="15">
        <f t="shared" si="10"/>
        <v>40416</v>
      </c>
      <c r="J113" s="16">
        <v>12215</v>
      </c>
      <c r="K113" s="16">
        <v>13561</v>
      </c>
      <c r="L113" s="16">
        <v>16536</v>
      </c>
      <c r="M113" s="16">
        <f t="shared" si="11"/>
        <v>14104</v>
      </c>
    </row>
    <row r="114" spans="1:13" s="17" customFormat="1" ht="25.5" customHeight="1" x14ac:dyDescent="0.25">
      <c r="A114" s="11" t="s">
        <v>285</v>
      </c>
      <c r="B114" s="12">
        <v>2110</v>
      </c>
      <c r="C114" s="12">
        <v>2396</v>
      </c>
      <c r="D114" s="12">
        <v>1599</v>
      </c>
      <c r="E114" s="13">
        <f t="shared" si="9"/>
        <v>2035</v>
      </c>
      <c r="F114" s="14">
        <v>33715</v>
      </c>
      <c r="G114" s="14">
        <v>32917</v>
      </c>
      <c r="H114" s="14">
        <v>33020</v>
      </c>
      <c r="I114" s="15">
        <f t="shared" si="10"/>
        <v>33217.333333333336</v>
      </c>
      <c r="J114" s="16">
        <v>26403</v>
      </c>
      <c r="K114" s="16">
        <v>29661</v>
      </c>
      <c r="L114" s="16">
        <v>35535</v>
      </c>
      <c r="M114" s="16">
        <f t="shared" si="11"/>
        <v>30533</v>
      </c>
    </row>
    <row r="115" spans="1:13" s="17" customFormat="1" ht="25.5" customHeight="1" x14ac:dyDescent="0.25">
      <c r="A115" s="11" t="s">
        <v>286</v>
      </c>
      <c r="B115" s="12">
        <v>751</v>
      </c>
      <c r="C115" s="12">
        <v>857</v>
      </c>
      <c r="D115" s="12">
        <v>698</v>
      </c>
      <c r="E115" s="13">
        <f t="shared" si="9"/>
        <v>768.66666666666663</v>
      </c>
      <c r="F115" s="14">
        <v>9747</v>
      </c>
      <c r="G115" s="14">
        <v>9866</v>
      </c>
      <c r="H115" s="14">
        <v>9968</v>
      </c>
      <c r="I115" s="15">
        <f t="shared" si="10"/>
        <v>9860.3333333333339</v>
      </c>
      <c r="J115" s="16">
        <v>415</v>
      </c>
      <c r="K115" s="16">
        <v>862</v>
      </c>
      <c r="L115" s="16">
        <v>251</v>
      </c>
      <c r="M115" s="16">
        <f t="shared" si="11"/>
        <v>509.33333333333331</v>
      </c>
    </row>
    <row r="116" spans="1:13" s="17" customFormat="1" ht="25.5" customHeight="1" x14ac:dyDescent="0.25">
      <c r="A116" s="11" t="s">
        <v>287</v>
      </c>
      <c r="B116" s="12">
        <v>18349</v>
      </c>
      <c r="C116" s="12">
        <v>19081</v>
      </c>
      <c r="D116" s="12">
        <v>18930</v>
      </c>
      <c r="E116" s="13">
        <f t="shared" si="9"/>
        <v>18786.666666666668</v>
      </c>
      <c r="F116" s="14">
        <v>168369</v>
      </c>
      <c r="G116" s="14">
        <v>162044</v>
      </c>
      <c r="H116" s="14">
        <v>162880</v>
      </c>
      <c r="I116" s="15">
        <f t="shared" si="10"/>
        <v>164431</v>
      </c>
      <c r="J116" s="16">
        <v>272825</v>
      </c>
      <c r="K116" s="16">
        <v>292752</v>
      </c>
      <c r="L116" s="16">
        <v>305139</v>
      </c>
      <c r="M116" s="16">
        <f t="shared" si="11"/>
        <v>290238.66666666669</v>
      </c>
    </row>
    <row r="117" spans="1:13" s="17" customFormat="1" ht="25.5" customHeight="1" x14ac:dyDescent="0.25">
      <c r="A117" s="11" t="s">
        <v>184</v>
      </c>
      <c r="B117" s="12">
        <v>78</v>
      </c>
      <c r="C117" s="12">
        <v>104</v>
      </c>
      <c r="D117" s="12">
        <v>121</v>
      </c>
      <c r="E117" s="13">
        <f t="shared" si="9"/>
        <v>101</v>
      </c>
      <c r="F117" s="14">
        <v>7170</v>
      </c>
      <c r="G117" s="14">
        <v>7357</v>
      </c>
      <c r="H117" s="14">
        <v>7230</v>
      </c>
      <c r="I117" s="15">
        <f t="shared" si="10"/>
        <v>7252.333333333333</v>
      </c>
      <c r="J117" s="16">
        <v>1223</v>
      </c>
      <c r="K117" s="16">
        <v>3041</v>
      </c>
      <c r="L117" s="16">
        <v>3780</v>
      </c>
      <c r="M117" s="16">
        <f t="shared" si="11"/>
        <v>2681.3333333333335</v>
      </c>
    </row>
    <row r="118" spans="1:13" s="17" customFormat="1" ht="25.5" customHeight="1" x14ac:dyDescent="0.25">
      <c r="A118" s="11" t="s">
        <v>186</v>
      </c>
      <c r="B118" s="12">
        <v>183</v>
      </c>
      <c r="C118" s="12">
        <v>237</v>
      </c>
      <c r="D118" s="12">
        <v>214</v>
      </c>
      <c r="E118" s="13">
        <f t="shared" si="9"/>
        <v>211.33333333333334</v>
      </c>
      <c r="F118" s="14">
        <v>4244</v>
      </c>
      <c r="G118" s="14">
        <v>3981</v>
      </c>
      <c r="H118" s="14">
        <v>3689</v>
      </c>
      <c r="I118" s="15">
        <f t="shared" si="10"/>
        <v>3971.3333333333335</v>
      </c>
      <c r="J118" s="16">
        <v>311</v>
      </c>
      <c r="K118" s="16">
        <v>637</v>
      </c>
      <c r="L118" s="16">
        <v>1029</v>
      </c>
      <c r="M118" s="16">
        <f t="shared" si="11"/>
        <v>659</v>
      </c>
    </row>
    <row r="119" spans="1:13" s="17" customFormat="1" ht="25.5" customHeight="1" x14ac:dyDescent="0.25">
      <c r="A119" s="11" t="s">
        <v>288</v>
      </c>
      <c r="B119" s="12">
        <v>1</v>
      </c>
      <c r="C119" s="12">
        <v>6</v>
      </c>
      <c r="D119" s="12">
        <v>6</v>
      </c>
      <c r="E119" s="13">
        <f t="shared" si="9"/>
        <v>4.333333333333333</v>
      </c>
      <c r="F119" s="14">
        <v>2609</v>
      </c>
      <c r="G119" s="14">
        <v>2609</v>
      </c>
      <c r="H119" s="14">
        <v>2609</v>
      </c>
      <c r="I119" s="15">
        <f t="shared" si="10"/>
        <v>2609</v>
      </c>
      <c r="J119" s="16">
        <v>0</v>
      </c>
      <c r="K119" s="16">
        <v>0</v>
      </c>
      <c r="L119" s="16">
        <v>0</v>
      </c>
      <c r="M119" s="16">
        <f t="shared" si="11"/>
        <v>0</v>
      </c>
    </row>
    <row r="120" spans="1:13" s="17" customFormat="1" ht="25.5" customHeight="1" x14ac:dyDescent="0.25">
      <c r="A120" s="11" t="s">
        <v>187</v>
      </c>
      <c r="B120" s="12">
        <v>847</v>
      </c>
      <c r="C120" s="12">
        <v>853</v>
      </c>
      <c r="D120" s="12">
        <v>919</v>
      </c>
      <c r="E120" s="13">
        <f t="shared" si="9"/>
        <v>873</v>
      </c>
      <c r="F120" s="14">
        <v>27742</v>
      </c>
      <c r="G120" s="14">
        <v>28158</v>
      </c>
      <c r="H120" s="14">
        <v>25851</v>
      </c>
      <c r="I120" s="15">
        <f t="shared" si="10"/>
        <v>27250.333333333332</v>
      </c>
      <c r="J120" s="16">
        <v>12287</v>
      </c>
      <c r="K120" s="16">
        <v>12485</v>
      </c>
      <c r="L120" s="16">
        <v>14588</v>
      </c>
      <c r="M120" s="16">
        <f t="shared" si="11"/>
        <v>13120</v>
      </c>
    </row>
    <row r="121" spans="1:13" s="17" customFormat="1" ht="25.5" customHeight="1" x14ac:dyDescent="0.25">
      <c r="A121" s="11" t="s">
        <v>189</v>
      </c>
      <c r="B121" s="12">
        <v>470</v>
      </c>
      <c r="C121" s="12">
        <v>330</v>
      </c>
      <c r="D121" s="12">
        <v>344</v>
      </c>
      <c r="E121" s="13">
        <f t="shared" si="9"/>
        <v>381.33333333333331</v>
      </c>
      <c r="F121" s="14">
        <v>14755</v>
      </c>
      <c r="G121" s="14">
        <v>15241</v>
      </c>
      <c r="H121" s="14">
        <v>14857</v>
      </c>
      <c r="I121" s="15">
        <f t="shared" si="10"/>
        <v>14951</v>
      </c>
      <c r="J121" s="16">
        <v>5398</v>
      </c>
      <c r="K121" s="16">
        <v>5787</v>
      </c>
      <c r="L121" s="16">
        <v>5862</v>
      </c>
      <c r="M121" s="16">
        <f t="shared" si="11"/>
        <v>5682.333333333333</v>
      </c>
    </row>
    <row r="122" spans="1:13" s="17" customFormat="1" ht="25.5" customHeight="1" x14ac:dyDescent="0.25">
      <c r="A122" s="11" t="s">
        <v>289</v>
      </c>
      <c r="B122" s="12">
        <v>3878</v>
      </c>
      <c r="C122" s="12">
        <v>3442</v>
      </c>
      <c r="D122" s="12">
        <v>2794</v>
      </c>
      <c r="E122" s="13">
        <f t="shared" si="9"/>
        <v>3371.3333333333335</v>
      </c>
      <c r="F122" s="14">
        <v>12102</v>
      </c>
      <c r="G122" s="14">
        <v>12153</v>
      </c>
      <c r="H122" s="14">
        <v>12213</v>
      </c>
      <c r="I122" s="15">
        <f t="shared" si="10"/>
        <v>12156</v>
      </c>
      <c r="J122" s="16">
        <v>619</v>
      </c>
      <c r="K122" s="16">
        <v>511</v>
      </c>
      <c r="L122" s="16">
        <v>375</v>
      </c>
      <c r="M122" s="16">
        <f t="shared" si="11"/>
        <v>501.66666666666669</v>
      </c>
    </row>
    <row r="123" spans="1:13" s="17" customFormat="1" ht="25.5" customHeight="1" x14ac:dyDescent="0.25">
      <c r="A123" s="11" t="s">
        <v>191</v>
      </c>
      <c r="B123" s="12">
        <v>961</v>
      </c>
      <c r="C123" s="12">
        <v>991</v>
      </c>
      <c r="D123" s="12">
        <v>891</v>
      </c>
      <c r="E123" s="13">
        <f t="shared" si="9"/>
        <v>947.66666666666663</v>
      </c>
      <c r="F123" s="14">
        <v>12237</v>
      </c>
      <c r="G123" s="14">
        <v>12590</v>
      </c>
      <c r="H123" s="14">
        <v>11921</v>
      </c>
      <c r="I123" s="15">
        <f t="shared" si="10"/>
        <v>12249.333333333334</v>
      </c>
      <c r="J123" s="16">
        <v>3177</v>
      </c>
      <c r="K123" s="16">
        <v>4061</v>
      </c>
      <c r="L123" s="16">
        <v>5703</v>
      </c>
      <c r="M123" s="16">
        <f t="shared" si="11"/>
        <v>4313.666666666667</v>
      </c>
    </row>
    <row r="124" spans="1:13" s="17" customFormat="1" ht="25.5" customHeight="1" x14ac:dyDescent="0.25">
      <c r="A124" s="11" t="s">
        <v>193</v>
      </c>
      <c r="B124" s="12">
        <v>350</v>
      </c>
      <c r="C124" s="12">
        <v>355</v>
      </c>
      <c r="D124" s="12">
        <v>335</v>
      </c>
      <c r="E124" s="13">
        <f t="shared" si="9"/>
        <v>346.66666666666669</v>
      </c>
      <c r="F124" s="14">
        <v>16404</v>
      </c>
      <c r="G124" s="14">
        <v>16454</v>
      </c>
      <c r="H124" s="14">
        <v>16433</v>
      </c>
      <c r="I124" s="15">
        <f t="shared" si="10"/>
        <v>16430.333333333332</v>
      </c>
      <c r="J124" s="16">
        <v>5775</v>
      </c>
      <c r="K124" s="16">
        <v>4601</v>
      </c>
      <c r="L124" s="16">
        <v>3962</v>
      </c>
      <c r="M124" s="16">
        <f t="shared" si="11"/>
        <v>4779.333333333333</v>
      </c>
    </row>
    <row r="125" spans="1:13" s="17" customFormat="1" ht="25.5" customHeight="1" x14ac:dyDescent="0.25">
      <c r="A125" s="11" t="s">
        <v>290</v>
      </c>
      <c r="B125" s="12">
        <v>229</v>
      </c>
      <c r="C125" s="12">
        <v>278</v>
      </c>
      <c r="D125" s="12">
        <v>323</v>
      </c>
      <c r="E125" s="13">
        <f t="shared" si="9"/>
        <v>276.66666666666669</v>
      </c>
      <c r="F125" s="14">
        <v>6000</v>
      </c>
      <c r="G125" s="14">
        <v>6051</v>
      </c>
      <c r="H125" s="14">
        <v>6781</v>
      </c>
      <c r="I125" s="15">
        <f t="shared" si="10"/>
        <v>6277.333333333333</v>
      </c>
      <c r="J125" s="16">
        <v>849</v>
      </c>
      <c r="K125" s="16">
        <v>1912</v>
      </c>
      <c r="L125" s="16">
        <v>2064</v>
      </c>
      <c r="M125" s="16">
        <f t="shared" si="11"/>
        <v>1608.3333333333333</v>
      </c>
    </row>
    <row r="126" spans="1:13" s="17" customFormat="1" ht="25.5" customHeight="1" x14ac:dyDescent="0.25">
      <c r="A126" s="11" t="s">
        <v>291</v>
      </c>
      <c r="B126" s="12">
        <v>1043</v>
      </c>
      <c r="C126" s="12">
        <v>1038</v>
      </c>
      <c r="D126" s="12">
        <v>817</v>
      </c>
      <c r="E126" s="13">
        <f t="shared" si="9"/>
        <v>966</v>
      </c>
      <c r="F126" s="14">
        <v>13698</v>
      </c>
      <c r="G126" s="14">
        <v>13545</v>
      </c>
      <c r="H126" s="14">
        <v>13833</v>
      </c>
      <c r="I126" s="15">
        <f t="shared" si="10"/>
        <v>13692</v>
      </c>
      <c r="J126" s="16">
        <v>7114</v>
      </c>
      <c r="K126" s="16">
        <v>8735</v>
      </c>
      <c r="L126" s="16">
        <v>8232</v>
      </c>
      <c r="M126" s="16">
        <f t="shared" si="11"/>
        <v>8027</v>
      </c>
    </row>
    <row r="127" spans="1:13" s="17" customFormat="1" ht="25.5" customHeight="1" x14ac:dyDescent="0.25">
      <c r="A127" s="11" t="s">
        <v>194</v>
      </c>
      <c r="B127" s="12">
        <v>958</v>
      </c>
      <c r="C127" s="12">
        <v>990</v>
      </c>
      <c r="D127" s="12">
        <v>630</v>
      </c>
      <c r="E127" s="13">
        <f t="shared" si="9"/>
        <v>859.33333333333337</v>
      </c>
      <c r="F127" s="14">
        <v>22117</v>
      </c>
      <c r="G127" s="14">
        <v>21762</v>
      </c>
      <c r="H127" s="14">
        <v>22094</v>
      </c>
      <c r="I127" s="15">
        <f t="shared" si="10"/>
        <v>21991</v>
      </c>
      <c r="J127" s="16">
        <v>10664</v>
      </c>
      <c r="K127" s="16">
        <v>10559</v>
      </c>
      <c r="L127" s="16">
        <v>8708</v>
      </c>
      <c r="M127" s="16">
        <f t="shared" si="11"/>
        <v>9977</v>
      </c>
    </row>
    <row r="128" spans="1:13" s="17" customFormat="1" ht="25.5" customHeight="1" x14ac:dyDescent="0.25">
      <c r="A128" s="11" t="s">
        <v>196</v>
      </c>
      <c r="B128" s="12">
        <v>1488</v>
      </c>
      <c r="C128" s="12">
        <v>1519</v>
      </c>
      <c r="D128" s="12">
        <v>577</v>
      </c>
      <c r="E128" s="13">
        <f t="shared" si="9"/>
        <v>1194.6666666666667</v>
      </c>
      <c r="F128" s="14">
        <v>22536</v>
      </c>
      <c r="G128" s="14">
        <v>20518</v>
      </c>
      <c r="H128" s="14">
        <v>21643</v>
      </c>
      <c r="I128" s="15">
        <f t="shared" si="10"/>
        <v>21565.666666666668</v>
      </c>
      <c r="J128" s="16">
        <v>17576</v>
      </c>
      <c r="K128" s="16">
        <v>17978</v>
      </c>
      <c r="L128" s="16">
        <v>14387</v>
      </c>
      <c r="M128" s="16">
        <f t="shared" si="11"/>
        <v>16647</v>
      </c>
    </row>
    <row r="129" spans="1:13" s="17" customFormat="1" ht="25.5" customHeight="1" x14ac:dyDescent="0.25">
      <c r="A129" s="11" t="s">
        <v>198</v>
      </c>
      <c r="B129" s="12">
        <v>1674</v>
      </c>
      <c r="C129" s="12">
        <v>1682</v>
      </c>
      <c r="D129" s="12">
        <v>1676</v>
      </c>
      <c r="E129" s="13">
        <f t="shared" si="9"/>
        <v>1677.3333333333333</v>
      </c>
      <c r="F129" s="14">
        <v>24562</v>
      </c>
      <c r="G129" s="14">
        <v>24835</v>
      </c>
      <c r="H129" s="14">
        <v>24802</v>
      </c>
      <c r="I129" s="15">
        <f t="shared" si="10"/>
        <v>24733</v>
      </c>
      <c r="J129" s="16">
        <v>62819</v>
      </c>
      <c r="K129" s="16">
        <v>62281</v>
      </c>
      <c r="L129" s="16">
        <v>62863</v>
      </c>
      <c r="M129" s="16">
        <f t="shared" si="11"/>
        <v>62654.333333333336</v>
      </c>
    </row>
    <row r="130" spans="1:13" s="17" customFormat="1" ht="25.5" customHeight="1" x14ac:dyDescent="0.25">
      <c r="A130" s="11" t="s">
        <v>292</v>
      </c>
      <c r="B130" s="12">
        <v>466</v>
      </c>
      <c r="C130" s="12">
        <v>510</v>
      </c>
      <c r="D130" s="12">
        <v>526</v>
      </c>
      <c r="E130" s="13">
        <f t="shared" si="9"/>
        <v>500.66666666666669</v>
      </c>
      <c r="F130" s="14">
        <v>15217</v>
      </c>
      <c r="G130" s="14">
        <v>15316</v>
      </c>
      <c r="H130" s="14">
        <v>15448</v>
      </c>
      <c r="I130" s="15">
        <f t="shared" si="10"/>
        <v>15327</v>
      </c>
      <c r="J130" s="16">
        <v>435</v>
      </c>
      <c r="K130" s="16">
        <v>1190</v>
      </c>
      <c r="L130" s="16">
        <v>981</v>
      </c>
      <c r="M130" s="16">
        <f t="shared" si="11"/>
        <v>868.66666666666663</v>
      </c>
    </row>
    <row r="131" spans="1:13" s="17" customFormat="1" ht="25.5" customHeight="1" x14ac:dyDescent="0.25">
      <c r="A131" s="11" t="s">
        <v>200</v>
      </c>
      <c r="B131" s="12">
        <v>310</v>
      </c>
      <c r="C131" s="12">
        <v>326</v>
      </c>
      <c r="D131" s="12">
        <v>341</v>
      </c>
      <c r="E131" s="13">
        <f t="shared" ref="E131:E162" si="12">AVERAGE(B131,C131,D131)</f>
        <v>325.66666666666669</v>
      </c>
      <c r="F131" s="14">
        <v>8756</v>
      </c>
      <c r="G131" s="14">
        <v>8967</v>
      </c>
      <c r="H131" s="14">
        <v>9328</v>
      </c>
      <c r="I131" s="15">
        <f t="shared" ref="I131:I162" si="13">AVERAGE(F131:H131)</f>
        <v>9017</v>
      </c>
      <c r="J131" s="16">
        <v>1815</v>
      </c>
      <c r="K131" s="16">
        <v>1982</v>
      </c>
      <c r="L131" s="16">
        <v>2734</v>
      </c>
      <c r="M131" s="16">
        <f t="shared" ref="M131:M162" si="14">AVERAGE(J131:L131)</f>
        <v>2177</v>
      </c>
    </row>
    <row r="132" spans="1:13" s="17" customFormat="1" ht="25.5" customHeight="1" x14ac:dyDescent="0.25">
      <c r="A132" s="11" t="s">
        <v>309</v>
      </c>
      <c r="B132" s="12">
        <v>302</v>
      </c>
      <c r="C132" s="12">
        <v>312</v>
      </c>
      <c r="D132" s="12">
        <v>163</v>
      </c>
      <c r="E132" s="13">
        <f t="shared" si="12"/>
        <v>259</v>
      </c>
      <c r="F132" s="14">
        <v>9414</v>
      </c>
      <c r="G132" s="14">
        <v>8971</v>
      </c>
      <c r="H132" s="14">
        <v>9238</v>
      </c>
      <c r="I132" s="15">
        <f t="shared" si="13"/>
        <v>9207.6666666666661</v>
      </c>
      <c r="J132" s="16">
        <v>3468</v>
      </c>
      <c r="K132" s="16">
        <v>3612</v>
      </c>
      <c r="L132" s="16">
        <v>3725</v>
      </c>
      <c r="M132" s="16">
        <f t="shared" si="14"/>
        <v>3601.6666666666665</v>
      </c>
    </row>
    <row r="133" spans="1:13" s="17" customFormat="1" ht="25.5" customHeight="1" x14ac:dyDescent="0.25">
      <c r="A133" s="11" t="s">
        <v>204</v>
      </c>
      <c r="B133" s="12">
        <v>995</v>
      </c>
      <c r="C133" s="12">
        <v>1024</v>
      </c>
      <c r="D133" s="12">
        <v>1004</v>
      </c>
      <c r="E133" s="13">
        <f t="shared" si="12"/>
        <v>1007.6666666666666</v>
      </c>
      <c r="F133" s="14">
        <v>10333</v>
      </c>
      <c r="G133" s="14">
        <v>11416</v>
      </c>
      <c r="H133" s="14">
        <v>12113</v>
      </c>
      <c r="I133" s="15">
        <f t="shared" si="13"/>
        <v>11287.333333333334</v>
      </c>
      <c r="J133" s="16">
        <v>9305</v>
      </c>
      <c r="K133" s="16">
        <v>7803</v>
      </c>
      <c r="L133" s="16">
        <v>7850</v>
      </c>
      <c r="M133" s="16">
        <f t="shared" si="14"/>
        <v>8319.3333333333339</v>
      </c>
    </row>
    <row r="134" spans="1:13" s="17" customFormat="1" ht="25.5" customHeight="1" x14ac:dyDescent="0.25">
      <c r="A134" s="11" t="s">
        <v>293</v>
      </c>
      <c r="B134" s="12">
        <v>431</v>
      </c>
      <c r="C134" s="12">
        <v>425</v>
      </c>
      <c r="D134" s="12">
        <v>340</v>
      </c>
      <c r="E134" s="13">
        <f t="shared" si="12"/>
        <v>398.66666666666669</v>
      </c>
      <c r="F134" s="14">
        <v>9889</v>
      </c>
      <c r="G134" s="14">
        <v>8877</v>
      </c>
      <c r="H134" s="14">
        <v>9113</v>
      </c>
      <c r="I134" s="15">
        <f t="shared" si="13"/>
        <v>9293</v>
      </c>
      <c r="J134" s="16">
        <v>426</v>
      </c>
      <c r="K134" s="16">
        <v>5178</v>
      </c>
      <c r="L134" s="16">
        <v>5669</v>
      </c>
      <c r="M134" s="16">
        <f t="shared" si="14"/>
        <v>3757.6666666666665</v>
      </c>
    </row>
    <row r="135" spans="1:13" s="17" customFormat="1" ht="25.5" customHeight="1" x14ac:dyDescent="0.25">
      <c r="A135" s="11" t="s">
        <v>206</v>
      </c>
      <c r="B135" s="12">
        <v>363</v>
      </c>
      <c r="C135" s="12">
        <v>400</v>
      </c>
      <c r="D135" s="12">
        <v>427</v>
      </c>
      <c r="E135" s="13">
        <f t="shared" si="12"/>
        <v>396.66666666666669</v>
      </c>
      <c r="F135" s="14">
        <v>21174</v>
      </c>
      <c r="G135" s="14">
        <v>21936</v>
      </c>
      <c r="H135" s="14">
        <v>21893</v>
      </c>
      <c r="I135" s="15">
        <f t="shared" si="13"/>
        <v>21667.666666666668</v>
      </c>
      <c r="J135" s="16">
        <v>2848</v>
      </c>
      <c r="K135" s="16">
        <v>3255</v>
      </c>
      <c r="L135" s="16">
        <v>2820</v>
      </c>
      <c r="M135" s="16">
        <f t="shared" si="14"/>
        <v>2974.3333333333335</v>
      </c>
    </row>
    <row r="136" spans="1:13" s="17" customFormat="1" ht="25.5" customHeight="1" x14ac:dyDescent="0.25">
      <c r="A136" s="11" t="s">
        <v>294</v>
      </c>
      <c r="B136" s="12">
        <v>3678</v>
      </c>
      <c r="C136" s="12">
        <v>4100</v>
      </c>
      <c r="D136" s="12">
        <v>3638</v>
      </c>
      <c r="E136" s="13">
        <f t="shared" si="12"/>
        <v>3805.3333333333335</v>
      </c>
      <c r="F136" s="14">
        <v>89518</v>
      </c>
      <c r="G136" s="14">
        <v>90765</v>
      </c>
      <c r="H136" s="14">
        <v>87067</v>
      </c>
      <c r="I136" s="15">
        <f t="shared" si="13"/>
        <v>89116.666666666672</v>
      </c>
      <c r="J136" s="16">
        <v>74061</v>
      </c>
      <c r="K136" s="16">
        <v>78787</v>
      </c>
      <c r="L136" s="16">
        <v>80069</v>
      </c>
      <c r="M136" s="16">
        <f t="shared" si="14"/>
        <v>77639</v>
      </c>
    </row>
    <row r="137" spans="1:13" s="17" customFormat="1" ht="25.5" customHeight="1" x14ac:dyDescent="0.25">
      <c r="A137" s="11" t="s">
        <v>295</v>
      </c>
      <c r="B137" s="12">
        <v>1850</v>
      </c>
      <c r="C137" s="12">
        <v>2270</v>
      </c>
      <c r="D137" s="12">
        <v>2523</v>
      </c>
      <c r="E137" s="13">
        <f t="shared" si="12"/>
        <v>2214.3333333333335</v>
      </c>
      <c r="F137" s="14">
        <v>10825</v>
      </c>
      <c r="G137" s="14">
        <v>9517</v>
      </c>
      <c r="H137" s="14">
        <v>7481</v>
      </c>
      <c r="I137" s="15">
        <f t="shared" si="13"/>
        <v>9274.3333333333339</v>
      </c>
      <c r="J137" s="16">
        <v>5877</v>
      </c>
      <c r="K137" s="16">
        <v>7922</v>
      </c>
      <c r="L137" s="16">
        <v>7832</v>
      </c>
      <c r="M137" s="16">
        <f t="shared" si="14"/>
        <v>7210.333333333333</v>
      </c>
    </row>
    <row r="138" spans="1:13" s="17" customFormat="1" ht="25.5" customHeight="1" x14ac:dyDescent="0.25">
      <c r="A138" s="11" t="s">
        <v>296</v>
      </c>
      <c r="B138" s="12">
        <v>8359</v>
      </c>
      <c r="C138" s="12">
        <v>8025</v>
      </c>
      <c r="D138" s="12">
        <v>7990</v>
      </c>
      <c r="E138" s="13">
        <f t="shared" si="12"/>
        <v>8124.666666666667</v>
      </c>
      <c r="F138" s="14">
        <v>85304</v>
      </c>
      <c r="G138" s="14">
        <v>85697</v>
      </c>
      <c r="H138" s="14">
        <v>80558</v>
      </c>
      <c r="I138" s="15">
        <f t="shared" si="13"/>
        <v>83853</v>
      </c>
      <c r="J138" s="16">
        <v>157837</v>
      </c>
      <c r="K138" s="16">
        <v>170073</v>
      </c>
      <c r="L138" s="16">
        <v>175742</v>
      </c>
      <c r="M138" s="16">
        <f t="shared" si="14"/>
        <v>167884</v>
      </c>
    </row>
    <row r="139" spans="1:13" s="17" customFormat="1" ht="25.5" customHeight="1" x14ac:dyDescent="0.25">
      <c r="A139" s="11" t="s">
        <v>297</v>
      </c>
      <c r="B139" s="12">
        <v>1037</v>
      </c>
      <c r="C139" s="12">
        <v>1064</v>
      </c>
      <c r="D139" s="12">
        <v>1090</v>
      </c>
      <c r="E139" s="13">
        <f t="shared" si="12"/>
        <v>1063.6666666666667</v>
      </c>
      <c r="F139" s="14">
        <v>39577</v>
      </c>
      <c r="G139" s="14">
        <v>35595</v>
      </c>
      <c r="H139" s="14">
        <v>33558</v>
      </c>
      <c r="I139" s="15">
        <f t="shared" si="13"/>
        <v>36243.333333333336</v>
      </c>
      <c r="J139" s="16">
        <v>3916</v>
      </c>
      <c r="K139" s="16">
        <v>17292</v>
      </c>
      <c r="L139" s="16">
        <v>14478</v>
      </c>
      <c r="M139" s="16">
        <f t="shared" si="14"/>
        <v>11895.333333333334</v>
      </c>
    </row>
    <row r="140" spans="1:13" s="17" customFormat="1" ht="25.5" customHeight="1" x14ac:dyDescent="0.25">
      <c r="A140" s="11" t="s">
        <v>212</v>
      </c>
      <c r="B140" s="12">
        <v>578</v>
      </c>
      <c r="C140" s="12">
        <v>593</v>
      </c>
      <c r="D140" s="12">
        <v>605</v>
      </c>
      <c r="E140" s="13">
        <f t="shared" si="12"/>
        <v>592</v>
      </c>
      <c r="F140" s="14">
        <v>16265</v>
      </c>
      <c r="G140" s="14">
        <v>15990</v>
      </c>
      <c r="H140" s="14">
        <v>15920</v>
      </c>
      <c r="I140" s="15">
        <f t="shared" si="13"/>
        <v>16058.333333333334</v>
      </c>
      <c r="J140" s="16">
        <v>2933</v>
      </c>
      <c r="K140" s="16">
        <v>15356</v>
      </c>
      <c r="L140" s="16">
        <v>14330</v>
      </c>
      <c r="M140" s="16">
        <f t="shared" si="14"/>
        <v>10873</v>
      </c>
    </row>
    <row r="141" spans="1:13" s="17" customFormat="1" ht="25.5" customHeight="1" x14ac:dyDescent="0.25">
      <c r="A141" s="11" t="s">
        <v>213</v>
      </c>
      <c r="B141" s="12">
        <v>117</v>
      </c>
      <c r="C141" s="12">
        <v>943</v>
      </c>
      <c r="D141" s="12">
        <v>973</v>
      </c>
      <c r="E141" s="13">
        <f t="shared" si="12"/>
        <v>677.66666666666663</v>
      </c>
      <c r="F141" s="14">
        <v>10149</v>
      </c>
      <c r="G141" s="14">
        <v>10115</v>
      </c>
      <c r="H141" s="14">
        <v>10657</v>
      </c>
      <c r="I141" s="15">
        <f t="shared" si="13"/>
        <v>10307</v>
      </c>
      <c r="J141" s="16">
        <v>16</v>
      </c>
      <c r="K141" s="16">
        <v>2202</v>
      </c>
      <c r="L141" s="16">
        <v>5838</v>
      </c>
      <c r="M141" s="16">
        <f t="shared" si="14"/>
        <v>2685.3333333333335</v>
      </c>
    </row>
    <row r="142" spans="1:13" s="17" customFormat="1" ht="25.5" customHeight="1" x14ac:dyDescent="0.25">
      <c r="A142" s="11" t="s">
        <v>215</v>
      </c>
      <c r="B142" s="12">
        <v>855</v>
      </c>
      <c r="C142" s="12">
        <v>841</v>
      </c>
      <c r="D142" s="12">
        <v>832</v>
      </c>
      <c r="E142" s="13">
        <f t="shared" si="12"/>
        <v>842.66666666666663</v>
      </c>
      <c r="F142" s="14">
        <v>15521</v>
      </c>
      <c r="G142" s="14">
        <v>15720</v>
      </c>
      <c r="H142" s="14">
        <v>15765</v>
      </c>
      <c r="I142" s="15">
        <f t="shared" si="13"/>
        <v>15668.666666666666</v>
      </c>
      <c r="J142" s="16">
        <v>5953</v>
      </c>
      <c r="K142" s="16">
        <v>7725</v>
      </c>
      <c r="L142" s="16">
        <v>8147</v>
      </c>
      <c r="M142" s="16">
        <f t="shared" si="14"/>
        <v>7275</v>
      </c>
    </row>
    <row r="143" spans="1:13" s="17" customFormat="1" ht="25.5" customHeight="1" x14ac:dyDescent="0.25">
      <c r="A143" s="11" t="s">
        <v>216</v>
      </c>
      <c r="B143" s="12">
        <v>1150</v>
      </c>
      <c r="C143" s="12">
        <v>1226</v>
      </c>
      <c r="D143" s="12">
        <v>1292</v>
      </c>
      <c r="E143" s="13">
        <f t="shared" si="12"/>
        <v>1222.6666666666667</v>
      </c>
      <c r="F143" s="14">
        <v>14834</v>
      </c>
      <c r="G143" s="14">
        <v>15266</v>
      </c>
      <c r="H143" s="14">
        <v>14459</v>
      </c>
      <c r="I143" s="15">
        <f t="shared" si="13"/>
        <v>14853</v>
      </c>
      <c r="J143" s="16">
        <v>4459</v>
      </c>
      <c r="K143" s="16">
        <v>4675</v>
      </c>
      <c r="L143" s="16">
        <v>4663</v>
      </c>
      <c r="M143" s="16">
        <f t="shared" si="14"/>
        <v>4599</v>
      </c>
    </row>
    <row r="144" spans="1:13" s="17" customFormat="1" ht="25.5" customHeight="1" x14ac:dyDescent="0.25">
      <c r="A144" s="11" t="s">
        <v>218</v>
      </c>
      <c r="B144" s="12">
        <v>495</v>
      </c>
      <c r="C144" s="12">
        <v>509</v>
      </c>
      <c r="D144" s="12">
        <v>467</v>
      </c>
      <c r="E144" s="13">
        <f t="shared" si="12"/>
        <v>490.33333333333331</v>
      </c>
      <c r="F144" s="14">
        <v>17056</v>
      </c>
      <c r="G144" s="14">
        <v>16838</v>
      </c>
      <c r="H144" s="14">
        <v>16996</v>
      </c>
      <c r="I144" s="15">
        <f t="shared" si="13"/>
        <v>16963.333333333332</v>
      </c>
      <c r="J144" s="16">
        <v>18138</v>
      </c>
      <c r="K144" s="16">
        <v>17389</v>
      </c>
      <c r="L144" s="16">
        <v>18020</v>
      </c>
      <c r="M144" s="16">
        <f t="shared" si="14"/>
        <v>17849</v>
      </c>
    </row>
    <row r="145" spans="2:13" ht="25.5" customHeight="1" x14ac:dyDescent="0.25">
      <c r="B145" s="18">
        <f t="shared" ref="B145:M145" si="15">SUM(B3:B144)</f>
        <v>312694</v>
      </c>
      <c r="C145" s="18">
        <f t="shared" si="15"/>
        <v>319423</v>
      </c>
      <c r="D145" s="18">
        <f t="shared" si="15"/>
        <v>297893</v>
      </c>
      <c r="E145" s="18">
        <f t="shared" si="15"/>
        <v>310003.33333333343</v>
      </c>
      <c r="F145" s="18">
        <f t="shared" si="15"/>
        <v>4417016</v>
      </c>
      <c r="G145" s="18">
        <f t="shared" si="15"/>
        <v>4394345</v>
      </c>
      <c r="H145" s="18">
        <f t="shared" si="15"/>
        <v>4368351</v>
      </c>
      <c r="I145" s="18">
        <f t="shared" si="15"/>
        <v>4393237.333333333</v>
      </c>
      <c r="J145" s="18">
        <f t="shared" si="15"/>
        <v>3945420</v>
      </c>
      <c r="K145" s="18">
        <f t="shared" si="15"/>
        <v>4526980</v>
      </c>
      <c r="L145" s="18">
        <f t="shared" si="15"/>
        <v>4738859</v>
      </c>
      <c r="M145" s="18">
        <f t="shared" si="15"/>
        <v>4403752.9999999981</v>
      </c>
    </row>
  </sheetData>
  <autoFilter ref="A2:M2" xr:uid="{2D706FB8-7DC7-4FF7-B083-5AF51C142F33}">
    <sortState xmlns:xlrd2="http://schemas.microsoft.com/office/spreadsheetml/2017/richdata2" ref="A3:M145">
      <sortCondition ref="A2"/>
    </sortState>
  </autoFilter>
  <mergeCells count="3">
    <mergeCell ref="B1:E1"/>
    <mergeCell ref="J1:M1"/>
    <mergeCell ref="F1:I1"/>
  </mergeCells>
  <pageMargins left="0.7" right="0.7" top="0.75" bottom="0.75" header="0.3" footer="0.3"/>
  <pageSetup scale="4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efcff06-4976-4964-82a1-bf5d5efbad50">
      <Terms xmlns="http://schemas.microsoft.com/office/infopath/2007/PartnerControls"/>
    </lcf76f155ced4ddcb4097134ff3c332f>
    <TaxCatchAll xmlns="a2f55d2e-9c96-4e08-9f8d-1abe97c7e90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550568EEB671F46875CDFA92A77A7BB" ma:contentTypeVersion="20" ma:contentTypeDescription="Create a new document." ma:contentTypeScope="" ma:versionID="86f3005911b5763179844200fed47937">
  <xsd:schema xmlns:xsd="http://www.w3.org/2001/XMLSchema" xmlns:xs="http://www.w3.org/2001/XMLSchema" xmlns:p="http://schemas.microsoft.com/office/2006/metadata/properties" xmlns:ns2="5efcff06-4976-4964-82a1-bf5d5efbad50" xmlns:ns3="a2f55d2e-9c96-4e08-9f8d-1abe97c7e904" targetNamespace="http://schemas.microsoft.com/office/2006/metadata/properties" ma:root="true" ma:fieldsID="f6ed4159ff2f98fe02ddfda6255fdad3" ns2:_="" ns3:_="">
    <xsd:import namespace="5efcff06-4976-4964-82a1-bf5d5efbad50"/>
    <xsd:import namespace="a2f55d2e-9c96-4e08-9f8d-1abe97c7e9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cff06-4976-4964-82a1-bf5d5efbad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5f5405c-b7e9-430d-9391-a4fc3d88fd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f55d2e-9c96-4e08-9f8d-1abe97c7e90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2d226fe-18ad-4029-a30e-c80f165e4bc3}" ma:internalName="TaxCatchAll" ma:showField="CatchAllData" ma:web="a2f55d2e-9c96-4e08-9f8d-1abe97c7e9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A830BD-FF60-4B0F-B885-85892E77FF87}">
  <ds:schemaRefs>
    <ds:schemaRef ds:uri="http://schemas.microsoft.com/sharepoint/v3/contenttype/forms"/>
  </ds:schemaRefs>
</ds:datastoreItem>
</file>

<file path=customXml/itemProps2.xml><?xml version="1.0" encoding="utf-8"?>
<ds:datastoreItem xmlns:ds="http://schemas.openxmlformats.org/officeDocument/2006/customXml" ds:itemID="{AB375370-F863-46BD-9B80-37FFA8D77881}">
  <ds:schemaRefs>
    <ds:schemaRef ds:uri="http://schemas.microsoft.com/office/2006/metadata/properties"/>
    <ds:schemaRef ds:uri="http://schemas.microsoft.com/office/infopath/2007/PartnerControls"/>
    <ds:schemaRef ds:uri="5efcff06-4976-4964-82a1-bf5d5efbad50"/>
    <ds:schemaRef ds:uri="a2f55d2e-9c96-4e08-9f8d-1abe97c7e904"/>
  </ds:schemaRefs>
</ds:datastoreItem>
</file>

<file path=customXml/itemProps3.xml><?xml version="1.0" encoding="utf-8"?>
<ds:datastoreItem xmlns:ds="http://schemas.openxmlformats.org/officeDocument/2006/customXml" ds:itemID="{56AC8167-72DF-4A87-9D39-E5D718539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cff06-4976-4964-82a1-bf5d5efbad50"/>
    <ds:schemaRef ds:uri="a2f55d2e-9c96-4e08-9f8d-1abe97c7e9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Target revenue sheet</vt:lpstr>
      <vt:lpstr>Fee Model FY25-FY29</vt:lpstr>
      <vt:lpstr>Fee Calculator</vt:lpstr>
      <vt:lpstr>Data averages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Antony Deter</dc:creator>
  <cp:keywords/>
  <dc:description/>
  <cp:lastModifiedBy>Kendal Orrison</cp:lastModifiedBy>
  <cp:revision/>
  <cp:lastPrinted>2024-01-09T17:44:43Z</cp:lastPrinted>
  <dcterms:created xsi:type="dcterms:W3CDTF">2023-09-06T12:45:30Z</dcterms:created>
  <dcterms:modified xsi:type="dcterms:W3CDTF">2024-02-01T21:56:58Z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0x0101001550568EEB671F46875CDFA92A77A7BB</vt:lpwstr>
  </property>
  <property fmtid="{D5CDD505-2E9C-101B-9397-08002B2CF9AE}" pid="3" name="MediaServiceImageTags">
    <vt:lpwstr/>
  </property>
</Properties>
</file>